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360" windowHeight="8796" tabRatio="794" activeTab="0"/>
  </bookViews>
  <sheets>
    <sheet name="Cycle Data" sheetId="1" r:id="rId1"/>
  </sheets>
  <definedNames>
    <definedName name="chron" localSheetId="0">'Cycle Data'!$C$2</definedName>
  </definedNames>
  <calcPr fullCalcOnLoad="1"/>
</workbook>
</file>

<file path=xl/sharedStrings.xml><?xml version="1.0" encoding="utf-8"?>
<sst xmlns="http://schemas.openxmlformats.org/spreadsheetml/2006/main" count="255" uniqueCount="215">
  <si>
    <t>Date</t>
  </si>
  <si>
    <t>Jim Fregosi</t>
  </si>
  <si>
    <t>Dan Ford</t>
  </si>
  <si>
    <t>Dave Winfield</t>
  </si>
  <si>
    <t>Harry Davis</t>
  </si>
  <si>
    <t>Nap Lajoie</t>
  </si>
  <si>
    <t>Danny Murphy</t>
  </si>
  <si>
    <t>Frank Baker</t>
  </si>
  <si>
    <t>Mickey Cochrane</t>
  </si>
  <si>
    <t>Pinky Higgins</t>
  </si>
  <si>
    <t>Jimmie Foxx</t>
  </si>
  <si>
    <t>Doc Cramer</t>
  </si>
  <si>
    <t>Sam Chapman</t>
  </si>
  <si>
    <t>Elmer Valo</t>
  </si>
  <si>
    <t>Tony Phillips</t>
  </si>
  <si>
    <t>Mike Blowers</t>
  </si>
  <si>
    <t>Eric Chavez</t>
  </si>
  <si>
    <t>Miguel Tejada</t>
  </si>
  <si>
    <t>Eric Byrnes</t>
  </si>
  <si>
    <t>Kelly Gruber</t>
  </si>
  <si>
    <t>Jeff Frye</t>
  </si>
  <si>
    <t>Bill Bradley</t>
  </si>
  <si>
    <t>Earl Averill</t>
  </si>
  <si>
    <t>Odell Hale</t>
  </si>
  <si>
    <t>Larry Doby</t>
  </si>
  <si>
    <t>Tony Horton</t>
  </si>
  <si>
    <t>Andre Thornton</t>
  </si>
  <si>
    <t>Travis Hafner</t>
  </si>
  <si>
    <t>Jay Buhner</t>
  </si>
  <si>
    <t>Alex Rodriguez</t>
  </si>
  <si>
    <t>John Olerud</t>
  </si>
  <si>
    <t>George Sisler</t>
  </si>
  <si>
    <t>Baby Doll Jacobson</t>
  </si>
  <si>
    <t>Ski Melillo</t>
  </si>
  <si>
    <t>George McQuinn</t>
  </si>
  <si>
    <t>Brooks Robinson</t>
  </si>
  <si>
    <t>Cal Ripken, Jr.</t>
  </si>
  <si>
    <t>Jim King</t>
  </si>
  <si>
    <t>Oddibe McDowell</t>
  </si>
  <si>
    <t>Patsy Dougherty</t>
  </si>
  <si>
    <t>Tris Speaker</t>
  </si>
  <si>
    <t>Roy Carlyle</t>
  </si>
  <si>
    <t>Moose Solters</t>
  </si>
  <si>
    <t>Joe Cronin</t>
  </si>
  <si>
    <t>Leon Culberson</t>
  </si>
  <si>
    <t>Bobby Doerr</t>
  </si>
  <si>
    <t>Bob Johnson</t>
  </si>
  <si>
    <t>Ted Williams</t>
  </si>
  <si>
    <t>Lou Clinton</t>
  </si>
  <si>
    <t>Carl Yastrzemski</t>
  </si>
  <si>
    <t>Bob Watson</t>
  </si>
  <si>
    <t>Fred Lynn</t>
  </si>
  <si>
    <t>Dwight Evans</t>
  </si>
  <si>
    <t>Rich Gedman</t>
  </si>
  <si>
    <t>Mike Greenwell</t>
  </si>
  <si>
    <t>Scott Cooper</t>
  </si>
  <si>
    <t>John Valentin</t>
  </si>
  <si>
    <t>Freddie Patek</t>
  </si>
  <si>
    <t>John Mayberry</t>
  </si>
  <si>
    <t>George Brett</t>
  </si>
  <si>
    <t>Frank White</t>
  </si>
  <si>
    <t>Bobby Veach</t>
  </si>
  <si>
    <t>Bob Fothergill</t>
  </si>
  <si>
    <t>Gee Walker</t>
  </si>
  <si>
    <t>Charlie Gehringer</t>
  </si>
  <si>
    <t>Vic Wertz</t>
  </si>
  <si>
    <t>George Kell</t>
  </si>
  <si>
    <t>Hoot Evers</t>
  </si>
  <si>
    <t>Travis Fryman</t>
  </si>
  <si>
    <t>Damion Easley</t>
  </si>
  <si>
    <t>Otis Clymer</t>
  </si>
  <si>
    <t>Goose Goslin</t>
  </si>
  <si>
    <t>Mickey Vernon</t>
  </si>
  <si>
    <t>Rod Carew</t>
  </si>
  <si>
    <t>Cesar Tovar</t>
  </si>
  <si>
    <t>Larry Hisle</t>
  </si>
  <si>
    <t>Lyman Bostock</t>
  </si>
  <si>
    <t>Mike Cubbage</t>
  </si>
  <si>
    <t>Gary Ward</t>
  </si>
  <si>
    <t>Kirby Puckett</t>
  </si>
  <si>
    <t>Ray Schalk</t>
  </si>
  <si>
    <t>Jack Brohamer</t>
  </si>
  <si>
    <t>Carlton Fisk</t>
  </si>
  <si>
    <t>Chris Singleton</t>
  </si>
  <si>
    <t>Jose Valentin</t>
  </si>
  <si>
    <t>Bert Daniels</t>
  </si>
  <si>
    <t>Bob Meusel</t>
  </si>
  <si>
    <t>Tony Lazzeri</t>
  </si>
  <si>
    <t>Lou Gehrig</t>
  </si>
  <si>
    <t>Joe DiMaggio</t>
  </si>
  <si>
    <t>Buddy Rosar</t>
  </si>
  <si>
    <t>Joe Gordon</t>
  </si>
  <si>
    <t>Mickey Mantle</t>
  </si>
  <si>
    <t>Bobby Murcer</t>
  </si>
  <si>
    <t>Tony Fernandez</t>
  </si>
  <si>
    <t>Cesar Cedeno</t>
  </si>
  <si>
    <t>Andujar Cedeno</t>
  </si>
  <si>
    <t>Jeff Bagwell</t>
  </si>
  <si>
    <t>Craig Biggio</t>
  </si>
  <si>
    <t>Duff Cooley</t>
  </si>
  <si>
    <t>Johnny Bates</t>
  </si>
  <si>
    <t>Bill Collins</t>
  </si>
  <si>
    <t>Albert Hall</t>
  </si>
  <si>
    <t>Mike Hegan</t>
  </si>
  <si>
    <t>Charlie Moore</t>
  </si>
  <si>
    <t>Robin Yount</t>
  </si>
  <si>
    <t>Paul Molitor</t>
  </si>
  <si>
    <t>Chad Moeller</t>
  </si>
  <si>
    <t>Cliff Heathcote</t>
  </si>
  <si>
    <t>Jim Bottomley</t>
  </si>
  <si>
    <t>Chick Hafey</t>
  </si>
  <si>
    <t>Pepper Martin</t>
  </si>
  <si>
    <t>Joe Medwick</t>
  </si>
  <si>
    <t>Johnny Mize</t>
  </si>
  <si>
    <t>Stan Musial</t>
  </si>
  <si>
    <t>Bill White</t>
  </si>
  <si>
    <t>Ken Boyer</t>
  </si>
  <si>
    <t>Joe Torre</t>
  </si>
  <si>
    <t>Lou Brock</t>
  </si>
  <si>
    <t>Willie McGee</t>
  </si>
  <si>
    <t>Ray Lankford</t>
  </si>
  <si>
    <t>John Mabry</t>
  </si>
  <si>
    <t>Hack Wilson</t>
  </si>
  <si>
    <t>Babe Herman</t>
  </si>
  <si>
    <t>Roy Smalley</t>
  </si>
  <si>
    <t>Lee Walls</t>
  </si>
  <si>
    <t>Billy Williams</t>
  </si>
  <si>
    <t>Randy Hundley</t>
  </si>
  <si>
    <t>Ivan DeJesus</t>
  </si>
  <si>
    <t>Andre Dawson</t>
  </si>
  <si>
    <t>Mark Grace</t>
  </si>
  <si>
    <t>Luis Gonzalez</t>
  </si>
  <si>
    <t>Greg Colbrunn</t>
  </si>
  <si>
    <t>Jimmy Johnston</t>
  </si>
  <si>
    <t>Dixie Walker</t>
  </si>
  <si>
    <t>Jackie Robinson</t>
  </si>
  <si>
    <t>Gil Hodges</t>
  </si>
  <si>
    <t>Wes Parker</t>
  </si>
  <si>
    <t>Sam Mertes</t>
  </si>
  <si>
    <t>Chief Meyers</t>
  </si>
  <si>
    <t>George Burns</t>
  </si>
  <si>
    <t>Dave Bancroft</t>
  </si>
  <si>
    <t>Ross Youngs</t>
  </si>
  <si>
    <t>Bill Terry</t>
  </si>
  <si>
    <t>Mel Ott</t>
  </si>
  <si>
    <t>Freddie Lindstrom</t>
  </si>
  <si>
    <t>Sam Leslie</t>
  </si>
  <si>
    <t>Harry Danning</t>
  </si>
  <si>
    <t>Don Mueller</t>
  </si>
  <si>
    <t>Jim Ray Hart</t>
  </si>
  <si>
    <t>Dave Kingman</t>
  </si>
  <si>
    <t>Jeffrey Leonard</t>
  </si>
  <si>
    <t>Candy Maldonado</t>
  </si>
  <si>
    <t>Chris Speier</t>
  </si>
  <si>
    <t>Robby Thompson</t>
  </si>
  <si>
    <t>Jeff Kent</t>
  </si>
  <si>
    <t>Tim Foli</t>
  </si>
  <si>
    <t>Tim Raines</t>
  </si>
  <si>
    <t>Rondell White</t>
  </si>
  <si>
    <t>Brad Wilkerson</t>
  </si>
  <si>
    <t>Vladimir Guerrero</t>
  </si>
  <si>
    <t>Jim Hickman</t>
  </si>
  <si>
    <t>Tommie Agee</t>
  </si>
  <si>
    <t>Mike Phillips</t>
  </si>
  <si>
    <t>Keith Hernandez</t>
  </si>
  <si>
    <t>Kevin McReynolds</t>
  </si>
  <si>
    <t>Alex Ochoa</t>
  </si>
  <si>
    <t>Cy Williams</t>
  </si>
  <si>
    <t>Chuck Klein</t>
  </si>
  <si>
    <t>Johnny Callison</t>
  </si>
  <si>
    <t>Gregg Jefferies</t>
  </si>
  <si>
    <t>Fred Clarke</t>
  </si>
  <si>
    <t>Chief Wilson</t>
  </si>
  <si>
    <t>Honus Wagner</t>
  </si>
  <si>
    <t>Dave Robertson</t>
  </si>
  <si>
    <t>Pie Traynor</t>
  </si>
  <si>
    <t>Kiki Cuyler</t>
  </si>
  <si>
    <t>Max Carey</t>
  </si>
  <si>
    <t>Arky Vaughan</t>
  </si>
  <si>
    <t>Bob Elliott</t>
  </si>
  <si>
    <t>Bill Salkeld</t>
  </si>
  <si>
    <t>Wally Westlake</t>
  </si>
  <si>
    <t>Ralph Kiner</t>
  </si>
  <si>
    <t>Gus Bell</t>
  </si>
  <si>
    <t>Willie Stargell</t>
  </si>
  <si>
    <t>Richie Zisk</t>
  </si>
  <si>
    <t>Mike Easler</t>
  </si>
  <si>
    <t>Gary Redus</t>
  </si>
  <si>
    <t>Jason Kendall</t>
  </si>
  <si>
    <t>Mike Mitchell</t>
  </si>
  <si>
    <t>Heinie Groh</t>
  </si>
  <si>
    <t>Harry Craft</t>
  </si>
  <si>
    <t>Frank Robinson</t>
  </si>
  <si>
    <t>Eric Davis</t>
  </si>
  <si>
    <t>Dante Bichette</t>
  </si>
  <si>
    <t>Neifi Perez</t>
  </si>
  <si>
    <t>Todd Helton</t>
  </si>
  <si>
    <t>Mike Lansing</t>
  </si>
  <si>
    <t>Player</t>
  </si>
  <si>
    <t>Year</t>
  </si>
  <si>
    <t>Daryle Ward</t>
  </si>
  <si>
    <t>David Bell</t>
  </si>
  <si>
    <t>Eric Valent</t>
  </si>
  <si>
    <t>Mark Teixeira</t>
  </si>
  <si>
    <t>Jeff DaVanon</t>
  </si>
  <si>
    <t>None</t>
  </si>
  <si>
    <t>two on the same day!</t>
  </si>
  <si>
    <t>the first game after the All-Star Game</t>
  </si>
  <si>
    <t>2nd day of the season</t>
  </si>
  <si>
    <t>strike year</t>
  </si>
  <si>
    <t>Game</t>
  </si>
  <si>
    <t>Games in Season</t>
  </si>
  <si>
    <t>Inter-arrival Time</t>
  </si>
  <si>
    <t>Buck Freeman</t>
  </si>
  <si>
    <t xml:space="preserve">Total Number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</si>
</sst>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[$-409]d\-mmm\-yy;@"/>
    <numFmt numFmtId="171" formatCode="[$-409]d\-mmm\-yyyy;@"/>
    <numFmt numFmtId="172" formatCode="0.0"/>
    <numFmt numFmtId="173" formatCode="[$-409]d\-mmm;@"/>
    <numFmt numFmtId="174" formatCode="0.000000"/>
    <numFmt numFmtId="175" formatCode="0.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619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246"/>
  <sheetViews>
    <sheetView tabSelected="1" workbookViewId="0" topLeftCell="A1">
      <selection activeCell="E246" sqref="E246:F246"/>
    </sheetView>
  </sheetViews>
  <sheetFormatPr defaultColWidth="9.140625" defaultRowHeight="12.75" customHeight="1"/>
  <cols>
    <col min="1" max="2" width="8.7109375" style="1" customWidth="1"/>
    <col min="3" max="3" width="17.421875" style="8" bestFit="1" customWidth="1"/>
    <col min="4" max="4" width="7.7109375" style="1" customWidth="1"/>
    <col min="5" max="5" width="16.421875" style="1" customWidth="1"/>
    <col min="6" max="6" width="16.28125" style="1" customWidth="1"/>
  </cols>
  <sheetData>
    <row r="1" spans="1:10" s="3" customFormat="1" ht="12.75" customHeight="1">
      <c r="A1" s="2" t="s">
        <v>199</v>
      </c>
      <c r="B1" s="2" t="s">
        <v>0</v>
      </c>
      <c r="C1" s="7" t="s">
        <v>198</v>
      </c>
      <c r="D1" s="2" t="s">
        <v>210</v>
      </c>
      <c r="E1" s="2" t="s">
        <v>212</v>
      </c>
      <c r="F1" s="2" t="s">
        <v>211</v>
      </c>
      <c r="H1" s="10"/>
      <c r="I1" s="11"/>
      <c r="J1" s="11"/>
    </row>
    <row r="2" spans="1:12" ht="12.75" customHeight="1">
      <c r="A2" s="1">
        <v>1901</v>
      </c>
      <c r="B2" s="4">
        <v>38178</v>
      </c>
      <c r="C2" s="5" t="s">
        <v>4</v>
      </c>
      <c r="D2" s="1">
        <f>1004/2+1</f>
        <v>503</v>
      </c>
      <c r="E2" s="1">
        <f>D2</f>
        <v>503</v>
      </c>
      <c r="L2" s="9"/>
    </row>
    <row r="3" spans="2:12" ht="12.75" customHeight="1">
      <c r="B3" s="4">
        <v>38191</v>
      </c>
      <c r="C3" s="5" t="s">
        <v>171</v>
      </c>
      <c r="D3" s="1">
        <f>1184/2+1</f>
        <v>593</v>
      </c>
      <c r="E3" s="1">
        <f>D3-D2</f>
        <v>90</v>
      </c>
      <c r="L3" s="9"/>
    </row>
    <row r="4" spans="2:12" ht="12.75" customHeight="1">
      <c r="B4" s="4">
        <v>38198</v>
      </c>
      <c r="C4" s="5" t="s">
        <v>5</v>
      </c>
      <c r="D4" s="1">
        <f>1282/2+1</f>
        <v>642</v>
      </c>
      <c r="E4" s="1">
        <f>D4-D3</f>
        <v>49</v>
      </c>
      <c r="F4" s="1">
        <f>2220/2</f>
        <v>1110</v>
      </c>
      <c r="L4" s="9"/>
    </row>
    <row r="5" spans="1:12" ht="12.75" customHeight="1">
      <c r="A5" s="1">
        <v>1902</v>
      </c>
      <c r="C5" s="6" t="s">
        <v>205</v>
      </c>
      <c r="F5" s="1">
        <f>2234/2</f>
        <v>1117</v>
      </c>
      <c r="L5" s="9"/>
    </row>
    <row r="6" spans="1:12" ht="12.75" customHeight="1">
      <c r="A6" s="1">
        <v>1903</v>
      </c>
      <c r="B6" s="4">
        <v>38114</v>
      </c>
      <c r="C6" s="5" t="s">
        <v>171</v>
      </c>
      <c r="D6" s="1">
        <f>228/2+1</f>
        <v>115</v>
      </c>
      <c r="E6" s="1">
        <f>(F4-D4)+F5+D6</f>
        <v>1700</v>
      </c>
      <c r="L6" s="9"/>
    </row>
    <row r="7" spans="2:12" ht="12.75" customHeight="1">
      <c r="B7" s="4">
        <v>38889</v>
      </c>
      <c r="C7" s="5" t="s">
        <v>213</v>
      </c>
      <c r="D7" s="1">
        <v>400</v>
      </c>
      <c r="E7" s="1">
        <f>D7-D6</f>
        <v>285</v>
      </c>
      <c r="L7" s="9"/>
    </row>
    <row r="8" spans="2:12" ht="12.75" customHeight="1">
      <c r="B8" s="4">
        <v>38197</v>
      </c>
      <c r="C8" s="5" t="s">
        <v>39</v>
      </c>
      <c r="D8" s="1">
        <f>1324/2+1</f>
        <v>663</v>
      </c>
      <c r="E8" s="1">
        <f>D8-D7</f>
        <v>263</v>
      </c>
      <c r="L8" s="9"/>
    </row>
    <row r="9" spans="2:12" ht="12.75" customHeight="1">
      <c r="B9" s="4">
        <v>38254</v>
      </c>
      <c r="C9" s="5" t="s">
        <v>21</v>
      </c>
      <c r="D9" s="1">
        <f>2156/2+1</f>
        <v>1079</v>
      </c>
      <c r="E9" s="1">
        <f>D9-D8</f>
        <v>416</v>
      </c>
      <c r="F9" s="1">
        <f>2228/2</f>
        <v>1114</v>
      </c>
      <c r="L9" s="9"/>
    </row>
    <row r="10" spans="1:12" ht="12.75" customHeight="1">
      <c r="A10" s="1">
        <v>1904</v>
      </c>
      <c r="B10" s="4">
        <v>38158</v>
      </c>
      <c r="C10" s="5" t="s">
        <v>99</v>
      </c>
      <c r="D10" s="1">
        <f>808/2+1</f>
        <v>405</v>
      </c>
      <c r="E10" s="1">
        <f>(F9-D9)+D10</f>
        <v>440</v>
      </c>
      <c r="L10" s="9"/>
    </row>
    <row r="11" spans="2:12" ht="12.75" customHeight="1">
      <c r="B11" s="4">
        <v>38264</v>
      </c>
      <c r="C11" s="5" t="s">
        <v>138</v>
      </c>
      <c r="D11" s="1">
        <f>2406/2+1</f>
        <v>1204</v>
      </c>
      <c r="E11" s="1">
        <f>D11-D10</f>
        <v>799</v>
      </c>
      <c r="F11" s="1">
        <f>2498/2</f>
        <v>1249</v>
      </c>
      <c r="L11" s="9"/>
    </row>
    <row r="12" spans="1:12" ht="12.75" customHeight="1">
      <c r="A12" s="1">
        <v>1905</v>
      </c>
      <c r="B12" s="4"/>
      <c r="C12" s="6" t="s">
        <v>205</v>
      </c>
      <c r="F12" s="1">
        <f>2474/2</f>
        <v>1237</v>
      </c>
      <c r="L12" s="9"/>
    </row>
    <row r="13" spans="1:12" ht="12.75" customHeight="1">
      <c r="A13" s="1">
        <v>1906</v>
      </c>
      <c r="B13" s="4"/>
      <c r="C13" s="6" t="s">
        <v>205</v>
      </c>
      <c r="F13" s="1">
        <f>2456/2</f>
        <v>1228</v>
      </c>
      <c r="L13" s="9"/>
    </row>
    <row r="14" spans="1:12" ht="12.75" customHeight="1">
      <c r="A14" s="1">
        <v>1907</v>
      </c>
      <c r="B14" s="4">
        <v>38103</v>
      </c>
      <c r="C14" s="5" t="s">
        <v>100</v>
      </c>
      <c r="D14" s="1">
        <f>156/2+1</f>
        <v>79</v>
      </c>
      <c r="E14" s="1">
        <f>(F11-D11)+F12+F13+D14</f>
        <v>2589</v>
      </c>
      <c r="F14" s="1">
        <f>2466/2</f>
        <v>1233</v>
      </c>
      <c r="L14" s="9"/>
    </row>
    <row r="15" spans="1:12" ht="12.75" customHeight="1">
      <c r="A15" s="1">
        <v>1908</v>
      </c>
      <c r="B15" s="4">
        <v>38262</v>
      </c>
      <c r="C15" s="5" t="s">
        <v>70</v>
      </c>
      <c r="D15" s="1">
        <f>2398/2+1</f>
        <v>1200</v>
      </c>
      <c r="E15" s="1">
        <f>(F14-D14)+D15</f>
        <v>2354</v>
      </c>
      <c r="F15" s="1">
        <f>2488/2</f>
        <v>1244</v>
      </c>
      <c r="L15" s="9"/>
    </row>
    <row r="16" spans="1:12" ht="12.75" customHeight="1">
      <c r="A16" s="1">
        <v>1909</v>
      </c>
      <c r="B16" s="4"/>
      <c r="C16" s="6" t="s">
        <v>205</v>
      </c>
      <c r="F16" s="1">
        <f>2482/2</f>
        <v>1241</v>
      </c>
      <c r="L16" s="9"/>
    </row>
    <row r="17" spans="1:12" ht="12.75" customHeight="1">
      <c r="A17" s="1">
        <v>1910</v>
      </c>
      <c r="B17" s="4">
        <v>38171</v>
      </c>
      <c r="C17" s="5" t="s">
        <v>172</v>
      </c>
      <c r="D17" s="1">
        <f>1008/2+1</f>
        <v>505</v>
      </c>
      <c r="E17" s="1">
        <f>(F15-D15)+F16+D17</f>
        <v>1790</v>
      </c>
      <c r="L17" s="9"/>
    </row>
    <row r="18" spans="2:12" ht="12.75" customHeight="1">
      <c r="B18" s="4">
        <v>38224</v>
      </c>
      <c r="C18" s="5" t="s">
        <v>6</v>
      </c>
      <c r="D18" s="1">
        <f>1834/2+1</f>
        <v>918</v>
      </c>
      <c r="E18" s="1">
        <f>D18-D17</f>
        <v>413</v>
      </c>
      <c r="L18" s="9"/>
    </row>
    <row r="19" spans="2:12" ht="12.75" customHeight="1">
      <c r="B19" s="4">
        <v>38266</v>
      </c>
      <c r="C19" s="5" t="s">
        <v>101</v>
      </c>
      <c r="D19" s="1">
        <f>2428/2+1</f>
        <v>1215</v>
      </c>
      <c r="E19" s="1">
        <f>D19-D18</f>
        <v>297</v>
      </c>
      <c r="F19" s="1">
        <f>2498/2</f>
        <v>1249</v>
      </c>
      <c r="L19" s="9"/>
    </row>
    <row r="20" spans="1:12" ht="12.75" customHeight="1">
      <c r="A20" s="1">
        <v>1911</v>
      </c>
      <c r="B20" s="4">
        <v>38171</v>
      </c>
      <c r="C20" s="5" t="s">
        <v>7</v>
      </c>
      <c r="D20" s="1">
        <f>1074/2+1</f>
        <v>538</v>
      </c>
      <c r="E20" s="1">
        <f>(F19-D19)+D20</f>
        <v>572</v>
      </c>
      <c r="L20" s="9"/>
    </row>
    <row r="21" spans="2:12" ht="12.75" customHeight="1">
      <c r="B21" s="4">
        <v>38218</v>
      </c>
      <c r="C21" s="5" t="s">
        <v>189</v>
      </c>
      <c r="D21" s="1">
        <f>1756/2+1</f>
        <v>879</v>
      </c>
      <c r="E21" s="1">
        <f>D21-D20</f>
        <v>341</v>
      </c>
      <c r="F21" s="1">
        <f>2474/2</f>
        <v>1237</v>
      </c>
      <c r="L21" s="9"/>
    </row>
    <row r="22" spans="1:12" ht="12.75" customHeight="1">
      <c r="A22" s="1">
        <v>1912</v>
      </c>
      <c r="B22" s="4">
        <v>38147</v>
      </c>
      <c r="C22" s="5" t="s">
        <v>40</v>
      </c>
      <c r="D22" s="1">
        <f>708/2+1</f>
        <v>355</v>
      </c>
      <c r="E22" s="1">
        <f>(F21-D21)+D22</f>
        <v>713</v>
      </c>
      <c r="L22" s="9"/>
    </row>
    <row r="23" spans="2:12" ht="12.75" customHeight="1">
      <c r="B23" s="4">
        <v>38148</v>
      </c>
      <c r="C23" s="5" t="s">
        <v>139</v>
      </c>
      <c r="D23" s="1">
        <f>716/2+1</f>
        <v>359</v>
      </c>
      <c r="E23" s="1">
        <f>D23-D22</f>
        <v>4</v>
      </c>
      <c r="L23" s="9"/>
    </row>
    <row r="24" spans="2:12" ht="12.75" customHeight="1">
      <c r="B24" s="4">
        <v>38193</v>
      </c>
      <c r="C24" s="5" t="s">
        <v>85</v>
      </c>
      <c r="D24" s="1">
        <f>1410/2+1</f>
        <v>706</v>
      </c>
      <c r="E24" s="1">
        <f>D24-D23</f>
        <v>347</v>
      </c>
      <c r="L24" s="9"/>
    </row>
    <row r="25" spans="2:12" ht="12.75" customHeight="1">
      <c r="B25" s="4">
        <v>38221</v>
      </c>
      <c r="C25" s="5" t="s">
        <v>173</v>
      </c>
      <c r="D25" s="1">
        <f>1818/2+1</f>
        <v>910</v>
      </c>
      <c r="E25" s="1">
        <f>D25-D24</f>
        <v>204</v>
      </c>
      <c r="F25" s="1">
        <f>2464/2</f>
        <v>1232</v>
      </c>
      <c r="L25" s="9"/>
    </row>
    <row r="26" spans="1:12" ht="12.75" customHeight="1">
      <c r="A26" s="1">
        <v>1913</v>
      </c>
      <c r="C26" s="6" t="s">
        <v>205</v>
      </c>
      <c r="F26" s="1">
        <f>2468/2</f>
        <v>1234</v>
      </c>
      <c r="L26" s="9"/>
    </row>
    <row r="27" spans="1:12" ht="12.75" customHeight="1">
      <c r="A27" s="1">
        <v>1914</v>
      </c>
      <c r="C27" s="6" t="s">
        <v>205</v>
      </c>
      <c r="F27" s="1">
        <f>2512/2</f>
        <v>1256</v>
      </c>
      <c r="L27" s="9"/>
    </row>
    <row r="28" spans="1:12" ht="12.75" customHeight="1">
      <c r="A28" s="1">
        <v>1915</v>
      </c>
      <c r="B28" s="4">
        <v>38173</v>
      </c>
      <c r="C28" s="5" t="s">
        <v>190</v>
      </c>
      <c r="D28" s="1">
        <f>1062/2+1</f>
        <v>532</v>
      </c>
      <c r="E28" s="1">
        <f>(F25-D25)+F26+F27+D28</f>
        <v>3344</v>
      </c>
      <c r="F28" s="1">
        <f>2490/2</f>
        <v>1245</v>
      </c>
      <c r="L28" s="9"/>
    </row>
    <row r="29" spans="1:12" ht="12.75" customHeight="1">
      <c r="A29" s="1">
        <v>1916</v>
      </c>
      <c r="C29" s="6" t="s">
        <v>205</v>
      </c>
      <c r="F29" s="1">
        <f>2494/2</f>
        <v>1247</v>
      </c>
      <c r="L29" s="9"/>
    </row>
    <row r="30" spans="1:12" ht="12.75" customHeight="1">
      <c r="A30" s="1">
        <v>1917</v>
      </c>
      <c r="C30" s="6" t="s">
        <v>205</v>
      </c>
      <c r="F30" s="1">
        <f>2494/2</f>
        <v>1247</v>
      </c>
      <c r="L30" s="9"/>
    </row>
    <row r="31" spans="1:12" ht="12.75" customHeight="1">
      <c r="A31" s="1">
        <v>1918</v>
      </c>
      <c r="B31" s="4">
        <v>38151</v>
      </c>
      <c r="C31" s="5" t="s">
        <v>108</v>
      </c>
      <c r="D31" s="1">
        <f>738/2+1</f>
        <v>370</v>
      </c>
      <c r="E31" s="1">
        <f>(F28-D28)+F29+F30+D31</f>
        <v>3577</v>
      </c>
      <c r="F31" s="1">
        <f>2032/2</f>
        <v>1016</v>
      </c>
      <c r="L31" s="9"/>
    </row>
    <row r="32" spans="1:12" ht="12.75" customHeight="1">
      <c r="A32" s="1">
        <v>1919</v>
      </c>
      <c r="C32" s="6" t="s">
        <v>205</v>
      </c>
      <c r="F32" s="1">
        <f>2236/2</f>
        <v>1118</v>
      </c>
      <c r="L32" s="9"/>
    </row>
    <row r="33" spans="1:12" ht="12.75" customHeight="1">
      <c r="A33" s="1">
        <v>1920</v>
      </c>
      <c r="B33" s="4">
        <v>38207</v>
      </c>
      <c r="C33" s="5" t="s">
        <v>31</v>
      </c>
      <c r="D33" s="1">
        <f>1620/2+1</f>
        <v>811</v>
      </c>
      <c r="E33" s="1">
        <f>(F31-D31)+F32+D33</f>
        <v>2575</v>
      </c>
      <c r="L33" s="9"/>
    </row>
    <row r="34" spans="2:12" ht="12.75" customHeight="1">
      <c r="B34" s="4">
        <v>38247</v>
      </c>
      <c r="C34" s="5" t="s">
        <v>61</v>
      </c>
      <c r="D34" s="1">
        <f>2228/2+1</f>
        <v>1115</v>
      </c>
      <c r="E34" s="1">
        <f>D34-D33</f>
        <v>304</v>
      </c>
      <c r="H34" s="3" t="s">
        <v>206</v>
      </c>
      <c r="L34" s="9"/>
    </row>
    <row r="35" spans="2:12" ht="12.75" customHeight="1">
      <c r="B35" s="4">
        <v>38247</v>
      </c>
      <c r="C35" s="5" t="s">
        <v>140</v>
      </c>
      <c r="D35" s="1">
        <f>2228/2+2</f>
        <v>1116</v>
      </c>
      <c r="E35" s="1">
        <f>D35-D34</f>
        <v>1</v>
      </c>
      <c r="F35" s="1">
        <f>2468/2</f>
        <v>1234</v>
      </c>
      <c r="L35" s="9"/>
    </row>
    <row r="36" spans="1:12" ht="12.75" customHeight="1">
      <c r="A36" s="1">
        <v>1921</v>
      </c>
      <c r="B36" s="4">
        <v>38114</v>
      </c>
      <c r="C36" s="5" t="s">
        <v>86</v>
      </c>
      <c r="D36" s="1">
        <f>272/2+1</f>
        <v>137</v>
      </c>
      <c r="E36" s="1">
        <f>(F35-D35)+D36</f>
        <v>255</v>
      </c>
      <c r="L36" s="9"/>
    </row>
    <row r="37" spans="2:12" ht="12.75" customHeight="1">
      <c r="B37" s="4">
        <v>38139</v>
      </c>
      <c r="C37" s="5" t="s">
        <v>141</v>
      </c>
      <c r="D37" s="1">
        <f>642/2+1</f>
        <v>322</v>
      </c>
      <c r="E37" s="1">
        <f>D37-D36</f>
        <v>185</v>
      </c>
      <c r="L37" s="9"/>
    </row>
    <row r="38" spans="2:12" ht="12.75" customHeight="1">
      <c r="B38" s="4">
        <v>38212</v>
      </c>
      <c r="C38" s="5" t="s">
        <v>31</v>
      </c>
      <c r="D38" s="1">
        <f>1718/2+1</f>
        <v>860</v>
      </c>
      <c r="E38" s="1">
        <f>D38-D37</f>
        <v>538</v>
      </c>
      <c r="L38" s="9"/>
    </row>
    <row r="39" spans="2:12" ht="12.75" customHeight="1">
      <c r="B39" s="4">
        <v>38229</v>
      </c>
      <c r="C39" s="5" t="s">
        <v>174</v>
      </c>
      <c r="D39" s="1">
        <f>1972/2+1</f>
        <v>987</v>
      </c>
      <c r="E39" s="1">
        <f>D39-D38</f>
        <v>127</v>
      </c>
      <c r="F39" s="1">
        <f>2458/2</f>
        <v>1229</v>
      </c>
      <c r="L39" s="9"/>
    </row>
    <row r="40" spans="1:12" ht="12.75" customHeight="1">
      <c r="A40" s="1">
        <v>1922</v>
      </c>
      <c r="B40" s="4">
        <v>38106</v>
      </c>
      <c r="C40" s="5" t="s">
        <v>142</v>
      </c>
      <c r="D40" s="1">
        <f>214/2+1</f>
        <v>108</v>
      </c>
      <c r="E40" s="1">
        <f>(F39-D39)+D40</f>
        <v>350</v>
      </c>
      <c r="L40" s="9"/>
    </row>
    <row r="41" spans="2:12" ht="12.75" customHeight="1">
      <c r="B41" s="4">
        <v>38132</v>
      </c>
      <c r="C41" s="5" t="s">
        <v>133</v>
      </c>
      <c r="D41" s="1">
        <f>544/2+1</f>
        <v>273</v>
      </c>
      <c r="E41" s="1">
        <f>D41-D40</f>
        <v>165</v>
      </c>
      <c r="L41" s="9"/>
    </row>
    <row r="42" spans="2:12" ht="12.75" customHeight="1">
      <c r="B42" s="4">
        <v>38165</v>
      </c>
      <c r="C42" s="5" t="s">
        <v>80</v>
      </c>
      <c r="D42" s="1">
        <f>1028/2+1</f>
        <v>515</v>
      </c>
      <c r="E42" s="1">
        <f>D42-D41</f>
        <v>242</v>
      </c>
      <c r="L42" s="9"/>
    </row>
    <row r="43" spans="2:12" ht="12.75" customHeight="1">
      <c r="B43" s="4">
        <v>38171</v>
      </c>
      <c r="C43" s="5" t="s">
        <v>86</v>
      </c>
      <c r="D43" s="1">
        <f>1120/2+1</f>
        <v>561</v>
      </c>
      <c r="E43" s="1">
        <f>D43-D42</f>
        <v>46</v>
      </c>
      <c r="F43" s="1">
        <f>2476/2</f>
        <v>1238</v>
      </c>
      <c r="L43" s="9"/>
    </row>
    <row r="44" spans="1:12" ht="12.75" customHeight="1">
      <c r="A44" s="1">
        <v>1923</v>
      </c>
      <c r="B44" s="4">
        <v>38175</v>
      </c>
      <c r="C44" s="5" t="s">
        <v>175</v>
      </c>
      <c r="D44" s="1">
        <f>1116/2+1</f>
        <v>559</v>
      </c>
      <c r="E44" s="1">
        <f>(F43-D43)+D44</f>
        <v>1236</v>
      </c>
      <c r="F44" s="1">
        <f>2466/2</f>
        <v>1233</v>
      </c>
      <c r="L44" s="9"/>
    </row>
    <row r="45" spans="1:12" ht="12.75" customHeight="1">
      <c r="A45" s="1">
        <v>1924</v>
      </c>
      <c r="B45" s="4">
        <v>38094</v>
      </c>
      <c r="C45" s="5" t="s">
        <v>32</v>
      </c>
      <c r="D45" s="1">
        <f>32/2+1</f>
        <v>17</v>
      </c>
      <c r="E45" s="1">
        <f>(F44-D44)+D45</f>
        <v>691</v>
      </c>
      <c r="L45" s="9"/>
    </row>
    <row r="46" spans="2:12" ht="12.75" customHeight="1">
      <c r="B46" s="4">
        <v>38227</v>
      </c>
      <c r="C46" s="5" t="s">
        <v>71</v>
      </c>
      <c r="D46" s="1">
        <f>1966/2+1</f>
        <v>984</v>
      </c>
      <c r="E46" s="1">
        <f>D46-D45</f>
        <v>967</v>
      </c>
      <c r="F46" s="1">
        <f>2462/2</f>
        <v>1231</v>
      </c>
      <c r="L46" s="9"/>
    </row>
    <row r="47" spans="1:12" ht="12.75" customHeight="1">
      <c r="A47" s="1">
        <v>1925</v>
      </c>
      <c r="B47" s="4">
        <v>38142</v>
      </c>
      <c r="C47" s="5" t="s">
        <v>176</v>
      </c>
      <c r="D47" s="1">
        <f>688/2+1</f>
        <v>345</v>
      </c>
      <c r="E47" s="1">
        <f>(F46-D46)+D47</f>
        <v>592</v>
      </c>
      <c r="L47" s="9"/>
    </row>
    <row r="48" spans="2:12" ht="12.75" customHeight="1">
      <c r="B48" s="4">
        <v>38158</v>
      </c>
      <c r="C48" s="5" t="s">
        <v>177</v>
      </c>
      <c r="D48" s="1">
        <f>918/2+1</f>
        <v>460</v>
      </c>
      <c r="E48" s="1">
        <f>D48-D47</f>
        <v>115</v>
      </c>
      <c r="L48" s="9"/>
    </row>
    <row r="49" spans="2:12" ht="12.75" customHeight="1">
      <c r="B49" s="4">
        <v>38189</v>
      </c>
      <c r="C49" s="5" t="s">
        <v>41</v>
      </c>
      <c r="D49" s="1">
        <f>1406/2+1</f>
        <v>704</v>
      </c>
      <c r="E49" s="1">
        <f>D49-D48</f>
        <v>244</v>
      </c>
      <c r="F49" s="1">
        <f>2456/2</f>
        <v>1228</v>
      </c>
      <c r="L49" s="9"/>
    </row>
    <row r="50" spans="1:12" ht="12.75" customHeight="1">
      <c r="A50" s="1">
        <v>1926</v>
      </c>
      <c r="B50" s="4">
        <v>38256</v>
      </c>
      <c r="C50" s="5" t="s">
        <v>62</v>
      </c>
      <c r="D50" s="1">
        <f>2436/2+1</f>
        <v>1219</v>
      </c>
      <c r="E50" s="1">
        <f>(F49-D49)+D50</f>
        <v>1743</v>
      </c>
      <c r="F50" s="1">
        <f>2468/2</f>
        <v>1234</v>
      </c>
      <c r="L50" s="9"/>
    </row>
    <row r="51" spans="1:12" ht="12.75" customHeight="1">
      <c r="A51" s="1">
        <v>1927</v>
      </c>
      <c r="B51" s="4">
        <v>38183</v>
      </c>
      <c r="C51" s="5" t="s">
        <v>109</v>
      </c>
      <c r="D51" s="1">
        <f>1300/2+1</f>
        <v>651</v>
      </c>
      <c r="E51" s="1">
        <f>(F50-D50)+D51</f>
        <v>666</v>
      </c>
      <c r="L51" s="9"/>
    </row>
    <row r="52" spans="2:12" ht="12.75" customHeight="1">
      <c r="B52" s="4">
        <v>38204</v>
      </c>
      <c r="C52" s="5" t="s">
        <v>167</v>
      </c>
      <c r="D52" s="1">
        <f>1632/2+1</f>
        <v>817</v>
      </c>
      <c r="E52" s="1">
        <f>D52-D51</f>
        <v>166</v>
      </c>
      <c r="F52" s="1">
        <f>2472/2</f>
        <v>1236</v>
      </c>
      <c r="L52" s="9"/>
    </row>
    <row r="53" spans="1:12" ht="12.75" customHeight="1">
      <c r="A53" s="1">
        <v>1928</v>
      </c>
      <c r="B53" s="4">
        <v>38136</v>
      </c>
      <c r="C53" s="5" t="s">
        <v>143</v>
      </c>
      <c r="D53" s="1">
        <f>616/2+1</f>
        <v>309</v>
      </c>
      <c r="E53" s="1">
        <f>(F52-D52)+D53</f>
        <v>728</v>
      </c>
      <c r="L53" s="9"/>
    </row>
    <row r="54" spans="2:12" ht="12.75" customHeight="1">
      <c r="B54" s="4">
        <v>38194</v>
      </c>
      <c r="C54" s="5" t="s">
        <v>86</v>
      </c>
      <c r="D54" s="1">
        <f>1478/2+1</f>
        <v>740</v>
      </c>
      <c r="E54" s="1">
        <f>D54-D53</f>
        <v>431</v>
      </c>
      <c r="F54" s="1">
        <f>2462/2</f>
        <v>1231</v>
      </c>
      <c r="L54" s="9"/>
    </row>
    <row r="55" spans="1:12" ht="12.75" customHeight="1">
      <c r="A55" s="1">
        <v>1929</v>
      </c>
      <c r="B55" s="4">
        <v>38123</v>
      </c>
      <c r="C55" s="5" t="s">
        <v>144</v>
      </c>
      <c r="D55" s="1">
        <f>364/2+1</f>
        <v>183</v>
      </c>
      <c r="E55" s="1">
        <f>(F54-D54)+D55</f>
        <v>674</v>
      </c>
      <c r="L55" s="9"/>
    </row>
    <row r="56" spans="2:12" ht="12.75" customHeight="1">
      <c r="B56" s="4">
        <v>38130</v>
      </c>
      <c r="C56" s="5" t="s">
        <v>33</v>
      </c>
      <c r="D56" s="1">
        <f>464/2+1</f>
        <v>233</v>
      </c>
      <c r="E56" s="1">
        <f>D56-D55</f>
        <v>50</v>
      </c>
      <c r="L56" s="9"/>
    </row>
    <row r="57" spans="2:12" ht="12.75" customHeight="1">
      <c r="B57" s="4">
        <v>38232</v>
      </c>
      <c r="C57" s="5" t="s">
        <v>43</v>
      </c>
      <c r="D57" s="1">
        <f>2010/2+1</f>
        <v>1006</v>
      </c>
      <c r="E57" s="1">
        <f>D57-D56</f>
        <v>773</v>
      </c>
      <c r="F57" s="1">
        <f>2458/2</f>
        <v>1229</v>
      </c>
      <c r="L57" s="9"/>
    </row>
    <row r="58" spans="1:12" ht="12.75" customHeight="1">
      <c r="A58" s="1">
        <v>1930</v>
      </c>
      <c r="B58" s="4">
        <v>38115</v>
      </c>
      <c r="C58" s="5" t="s">
        <v>145</v>
      </c>
      <c r="D58" s="1">
        <f>290/2+1</f>
        <v>146</v>
      </c>
      <c r="E58" s="1">
        <f>(F57-D57)+D58</f>
        <v>369</v>
      </c>
      <c r="L58" s="9"/>
    </row>
    <row r="59" spans="2:12" ht="12.75" customHeight="1">
      <c r="B59" s="4">
        <v>38161</v>
      </c>
      <c r="C59" s="5" t="s">
        <v>122</v>
      </c>
      <c r="D59" s="1">
        <f>930/2+1</f>
        <v>466</v>
      </c>
      <c r="E59" s="1">
        <f>D59-D58</f>
        <v>320</v>
      </c>
      <c r="L59" s="9"/>
    </row>
    <row r="60" spans="2:12" ht="12.75" customHeight="1">
      <c r="B60" s="4">
        <v>38220</v>
      </c>
      <c r="C60" s="5" t="s">
        <v>110</v>
      </c>
      <c r="D60" s="1">
        <f>1914/2+1</f>
        <v>958</v>
      </c>
      <c r="E60" s="1">
        <f>D60-D59</f>
        <v>492</v>
      </c>
      <c r="F60" s="1">
        <f>2468/2</f>
        <v>1234</v>
      </c>
      <c r="L60" s="9"/>
    </row>
    <row r="61" spans="1:12" ht="12.75" customHeight="1">
      <c r="A61" s="1">
        <v>1931</v>
      </c>
      <c r="B61" s="4">
        <v>38125</v>
      </c>
      <c r="C61" s="5" t="s">
        <v>123</v>
      </c>
      <c r="D61" s="1">
        <f>404/2+1</f>
        <v>203</v>
      </c>
      <c r="E61" s="1">
        <f>(F60-D60)+D61</f>
        <v>479</v>
      </c>
      <c r="L61" s="9"/>
    </row>
    <row r="62" spans="2:12" ht="12.75" customHeight="1">
      <c r="B62" s="4">
        <v>38169</v>
      </c>
      <c r="C62" s="5" t="s">
        <v>168</v>
      </c>
      <c r="D62" s="1">
        <f>1074/2+1</f>
        <v>538</v>
      </c>
      <c r="E62" s="1">
        <f>D62-D61</f>
        <v>335</v>
      </c>
      <c r="L62" s="9"/>
    </row>
    <row r="63" spans="2:12" ht="12.75" customHeight="1">
      <c r="B63" s="4">
        <v>38192</v>
      </c>
      <c r="C63" s="5" t="s">
        <v>123</v>
      </c>
      <c r="D63" s="1">
        <f>1440/2+1</f>
        <v>721</v>
      </c>
      <c r="E63" s="1">
        <f>D63-D62</f>
        <v>183</v>
      </c>
      <c r="F63" s="1">
        <f>2472/2</f>
        <v>1236</v>
      </c>
      <c r="L63" s="9"/>
    </row>
    <row r="64" spans="1:12" ht="12.75" customHeight="1">
      <c r="A64" s="1">
        <v>1932</v>
      </c>
      <c r="B64" s="4">
        <v>38141</v>
      </c>
      <c r="C64" s="5" t="s">
        <v>87</v>
      </c>
      <c r="D64" s="1">
        <f>696/2+1</f>
        <v>349</v>
      </c>
      <c r="E64" s="1">
        <f>(F63-D63)+D64</f>
        <v>864</v>
      </c>
      <c r="L64" s="9"/>
    </row>
    <row r="65" spans="2:12" ht="12.75" customHeight="1">
      <c r="B65" s="4">
        <v>38190</v>
      </c>
      <c r="C65" s="5" t="s">
        <v>8</v>
      </c>
      <c r="D65" s="1">
        <f>1434/2+1</f>
        <v>718</v>
      </c>
      <c r="E65" s="1">
        <f>D65-D64</f>
        <v>369</v>
      </c>
      <c r="F65" s="1">
        <f>2466/2</f>
        <v>1233</v>
      </c>
      <c r="L65" s="9"/>
    </row>
    <row r="66" spans="1:5" ht="12.75" customHeight="1">
      <c r="A66" s="1">
        <v>1933</v>
      </c>
      <c r="B66" s="4">
        <v>38112</v>
      </c>
      <c r="C66" s="5" t="s">
        <v>111</v>
      </c>
      <c r="D66" s="1">
        <f>274/2+1</f>
        <v>138</v>
      </c>
      <c r="E66" s="1">
        <f>(F65-D65)+D66</f>
        <v>653</v>
      </c>
    </row>
    <row r="67" spans="2:5" ht="12.75" customHeight="1">
      <c r="B67" s="4">
        <v>38133</v>
      </c>
      <c r="C67" s="5" t="s">
        <v>168</v>
      </c>
      <c r="D67" s="1">
        <f>550/2+1</f>
        <v>276</v>
      </c>
      <c r="E67" s="1">
        <f>D67-D66</f>
        <v>138</v>
      </c>
    </row>
    <row r="68" spans="2:5" ht="12.75" customHeight="1">
      <c r="B68" s="4">
        <v>38162</v>
      </c>
      <c r="C68" s="5" t="s">
        <v>178</v>
      </c>
      <c r="D68" s="1">
        <f>996/2+1</f>
        <v>499</v>
      </c>
      <c r="E68" s="1">
        <f aca="true" t="shared" si="0" ref="E68:E73">D68-D67</f>
        <v>223</v>
      </c>
    </row>
    <row r="69" spans="2:5" ht="12.75" customHeight="1">
      <c r="B69" s="4">
        <v>38201</v>
      </c>
      <c r="C69" s="5" t="s">
        <v>8</v>
      </c>
      <c r="D69" s="1">
        <f>1572/2+1</f>
        <v>787</v>
      </c>
      <c r="E69" s="1">
        <f t="shared" si="0"/>
        <v>288</v>
      </c>
    </row>
    <row r="70" spans="2:5" ht="12.75" customHeight="1">
      <c r="B70" s="4">
        <v>38205</v>
      </c>
      <c r="C70" s="5" t="s">
        <v>9</v>
      </c>
      <c r="D70" s="1">
        <f>1638/2+1</f>
        <v>820</v>
      </c>
      <c r="E70" s="1">
        <f t="shared" si="0"/>
        <v>33</v>
      </c>
    </row>
    <row r="71" spans="2:5" ht="12.75" customHeight="1">
      <c r="B71" s="4">
        <v>38213</v>
      </c>
      <c r="C71" s="5" t="s">
        <v>10</v>
      </c>
      <c r="D71" s="1">
        <f>1746/2+1</f>
        <v>874</v>
      </c>
      <c r="E71" s="1">
        <f t="shared" si="0"/>
        <v>54</v>
      </c>
    </row>
    <row r="72" spans="2:5" ht="12.75" customHeight="1">
      <c r="B72" s="4">
        <v>38216</v>
      </c>
      <c r="C72" s="5" t="s">
        <v>22</v>
      </c>
      <c r="D72" s="1">
        <f>1782/2+1</f>
        <v>892</v>
      </c>
      <c r="E72" s="1">
        <f t="shared" si="0"/>
        <v>18</v>
      </c>
    </row>
    <row r="73" spans="2:6" ht="12.75" customHeight="1">
      <c r="B73" s="4">
        <v>38260</v>
      </c>
      <c r="C73" s="5" t="s">
        <v>123</v>
      </c>
      <c r="D73" s="1">
        <f>2418/2+1</f>
        <v>1210</v>
      </c>
      <c r="E73" s="1">
        <f t="shared" si="0"/>
        <v>318</v>
      </c>
      <c r="F73" s="1">
        <f>2452/2</f>
        <v>1226</v>
      </c>
    </row>
    <row r="74" spans="1:5" ht="12.75" customHeight="1">
      <c r="A74" s="1">
        <v>1934</v>
      </c>
      <c r="B74" s="4">
        <v>38148</v>
      </c>
      <c r="C74" s="5" t="s">
        <v>11</v>
      </c>
      <c r="D74" s="1">
        <f>740/2+1</f>
        <v>371</v>
      </c>
      <c r="E74" s="1">
        <f>D74+(F73-D73)</f>
        <v>387</v>
      </c>
    </row>
    <row r="75" spans="2:5" ht="12.75" customHeight="1">
      <c r="B75" s="4">
        <v>38163</v>
      </c>
      <c r="C75" s="5" t="s">
        <v>88</v>
      </c>
      <c r="D75" s="1">
        <f>982/2+1</f>
        <v>492</v>
      </c>
      <c r="E75" s="1">
        <f>D75-E74</f>
        <v>105</v>
      </c>
    </row>
    <row r="76" spans="2:6" ht="12.75" customHeight="1">
      <c r="B76" s="4">
        <v>38218</v>
      </c>
      <c r="C76" s="5" t="s">
        <v>42</v>
      </c>
      <c r="D76" s="1">
        <f>1814/2+1</f>
        <v>908</v>
      </c>
      <c r="E76" s="1">
        <f>D76-E75</f>
        <v>803</v>
      </c>
      <c r="F76" s="1">
        <f>2446/2</f>
        <v>1223</v>
      </c>
    </row>
    <row r="77" spans="1:6" ht="12.75" customHeight="1">
      <c r="A77" s="1">
        <v>1935</v>
      </c>
      <c r="B77" s="4">
        <v>38167</v>
      </c>
      <c r="C77" s="5" t="s">
        <v>112</v>
      </c>
      <c r="D77" s="1">
        <f>988/2+1</f>
        <v>495</v>
      </c>
      <c r="E77" s="1">
        <f>D77+(F76-D76)</f>
        <v>810</v>
      </c>
      <c r="F77" s="1">
        <f>2456/2</f>
        <v>1228</v>
      </c>
    </row>
    <row r="78" spans="1:6" ht="12.75" customHeight="1">
      <c r="A78" s="1">
        <v>1936</v>
      </c>
      <c r="B78" s="4">
        <v>38131</v>
      </c>
      <c r="C78" s="5" t="s">
        <v>146</v>
      </c>
      <c r="D78" s="1">
        <f>538/2+1</f>
        <v>270</v>
      </c>
      <c r="E78" s="1">
        <f>D78+(F77-D77)</f>
        <v>1003</v>
      </c>
      <c r="F78" s="1">
        <f>2476/2</f>
        <v>1238</v>
      </c>
    </row>
    <row r="79" spans="1:8" ht="12.75" customHeight="1">
      <c r="A79" s="1">
        <v>1937</v>
      </c>
      <c r="B79" s="4">
        <v>38097</v>
      </c>
      <c r="C79" s="5" t="s">
        <v>63</v>
      </c>
      <c r="D79" s="1">
        <f>6/2+1</f>
        <v>4</v>
      </c>
      <c r="E79" s="1">
        <f>D79+(F78-D78)</f>
        <v>972</v>
      </c>
      <c r="H79" s="3" t="s">
        <v>208</v>
      </c>
    </row>
    <row r="80" spans="2:8" ht="12.75" customHeight="1">
      <c r="B80" s="4">
        <v>38177</v>
      </c>
      <c r="C80" s="5" t="s">
        <v>89</v>
      </c>
      <c r="D80" s="1">
        <f>1072/2+1</f>
        <v>537</v>
      </c>
      <c r="E80" s="1">
        <f>D80-D79</f>
        <v>533</v>
      </c>
      <c r="H80" s="3" t="s">
        <v>207</v>
      </c>
    </row>
    <row r="81" spans="2:6" ht="12.75" customHeight="1">
      <c r="B81" s="4">
        <v>38200</v>
      </c>
      <c r="C81" s="5" t="s">
        <v>88</v>
      </c>
      <c r="D81" s="1">
        <f>1430/2+1</f>
        <v>716</v>
      </c>
      <c r="E81" s="1">
        <f>D81-D80</f>
        <v>179</v>
      </c>
      <c r="F81" s="1">
        <f>2478/2</f>
        <v>1239</v>
      </c>
    </row>
    <row r="82" spans="1:6" ht="12.75" customHeight="1">
      <c r="A82" s="1">
        <v>1938</v>
      </c>
      <c r="B82" s="4">
        <v>38180</v>
      </c>
      <c r="C82" s="5" t="s">
        <v>23</v>
      </c>
      <c r="D82" s="1">
        <f>1134/2+1</f>
        <v>568</v>
      </c>
      <c r="E82" s="1">
        <f>D82+F81-D81</f>
        <v>1091</v>
      </c>
      <c r="F82" s="1">
        <f>2446/2</f>
        <v>1223</v>
      </c>
    </row>
    <row r="83" spans="1:5" ht="12.75" customHeight="1">
      <c r="A83" s="1">
        <v>1939</v>
      </c>
      <c r="B83" s="4">
        <v>38112</v>
      </c>
      <c r="C83" s="5" t="s">
        <v>12</v>
      </c>
      <c r="D83" s="1">
        <f>194/2+1</f>
        <v>98</v>
      </c>
      <c r="E83" s="1">
        <f>D83+F82-D82</f>
        <v>753</v>
      </c>
    </row>
    <row r="84" spans="2:5" ht="12.75" customHeight="1">
      <c r="B84" s="4">
        <v>38134</v>
      </c>
      <c r="C84" s="5" t="s">
        <v>64</v>
      </c>
      <c r="D84" s="1">
        <f>496/2+1</f>
        <v>249</v>
      </c>
      <c r="E84" s="1">
        <f>D84-D83</f>
        <v>151</v>
      </c>
    </row>
    <row r="85" spans="2:6" ht="12.75" customHeight="1">
      <c r="B85" s="4">
        <v>38187</v>
      </c>
      <c r="C85" s="5" t="s">
        <v>178</v>
      </c>
      <c r="D85" s="1">
        <f>1270/2+1</f>
        <v>636</v>
      </c>
      <c r="E85" s="1">
        <f>D85-D84</f>
        <v>387</v>
      </c>
      <c r="F85" s="1">
        <f>2462/2</f>
        <v>1231</v>
      </c>
    </row>
    <row r="86" spans="1:5" ht="12.75" customHeight="1">
      <c r="A86" s="1">
        <v>1940</v>
      </c>
      <c r="B86" s="4">
        <v>38146</v>
      </c>
      <c r="C86" s="5" t="s">
        <v>191</v>
      </c>
      <c r="D86" s="1">
        <f>658/2+1</f>
        <v>330</v>
      </c>
      <c r="E86" s="1">
        <f>D86+F85-D85</f>
        <v>925</v>
      </c>
    </row>
    <row r="87" spans="2:5" ht="12.75" customHeight="1">
      <c r="B87" s="4">
        <v>38153</v>
      </c>
      <c r="C87" s="5" t="s">
        <v>147</v>
      </c>
      <c r="D87" s="1">
        <f>750/2+1</f>
        <v>376</v>
      </c>
      <c r="E87" s="1">
        <f>D87-D86</f>
        <v>46</v>
      </c>
    </row>
    <row r="88" spans="2:5" ht="12.75" customHeight="1">
      <c r="B88" s="4">
        <v>38181</v>
      </c>
      <c r="C88" s="5" t="s">
        <v>113</v>
      </c>
      <c r="D88" s="1">
        <f>1160/2+1</f>
        <v>581</v>
      </c>
      <c r="E88" s="1">
        <f>D88-D87</f>
        <v>205</v>
      </c>
    </row>
    <row r="89" spans="2:5" ht="12.75" customHeight="1">
      <c r="B89" s="4">
        <v>38187</v>
      </c>
      <c r="C89" s="5" t="s">
        <v>90</v>
      </c>
      <c r="D89" s="1">
        <f>1270/2+1</f>
        <v>636</v>
      </c>
      <c r="E89" s="1">
        <f>D89-D88</f>
        <v>55</v>
      </c>
    </row>
    <row r="90" spans="2:5" ht="12.75" customHeight="1">
      <c r="B90" s="4">
        <v>38201</v>
      </c>
      <c r="C90" s="5" t="s">
        <v>43</v>
      </c>
      <c r="D90" s="1">
        <f>1494/2+1</f>
        <v>748</v>
      </c>
      <c r="E90" s="1">
        <f>D90-D89</f>
        <v>112</v>
      </c>
    </row>
    <row r="91" spans="2:6" ht="12.75" customHeight="1">
      <c r="B91" s="4">
        <v>38238</v>
      </c>
      <c r="C91" s="5" t="s">
        <v>91</v>
      </c>
      <c r="D91" s="1">
        <f>2096/2+1</f>
        <v>1049</v>
      </c>
      <c r="E91" s="1">
        <f>D91-D90</f>
        <v>301</v>
      </c>
      <c r="F91" s="1">
        <f>2472/2</f>
        <v>1236</v>
      </c>
    </row>
    <row r="92" spans="1:6" ht="12.75" customHeight="1">
      <c r="A92" s="1">
        <v>1941</v>
      </c>
      <c r="B92" s="4">
        <v>38187</v>
      </c>
      <c r="C92" s="5" t="s">
        <v>34</v>
      </c>
      <c r="D92" s="1">
        <f>1334/2+1</f>
        <v>668</v>
      </c>
      <c r="E92" s="1">
        <f>D92+F91-D91</f>
        <v>855</v>
      </c>
      <c r="F92" s="1">
        <f>2488/2</f>
        <v>1244</v>
      </c>
    </row>
    <row r="93" spans="1:6" ht="12.75" customHeight="1">
      <c r="A93" s="1">
        <v>1942</v>
      </c>
      <c r="C93" s="6" t="s">
        <v>205</v>
      </c>
      <c r="F93" s="1">
        <f>2448/2</f>
        <v>1224</v>
      </c>
    </row>
    <row r="94" spans="1:6" ht="12.75" customHeight="1">
      <c r="A94" s="1">
        <v>1943</v>
      </c>
      <c r="B94" s="4">
        <v>38171</v>
      </c>
      <c r="C94" s="5" t="s">
        <v>44</v>
      </c>
      <c r="D94" s="1">
        <f>1028/2+1</f>
        <v>515</v>
      </c>
      <c r="E94" s="1">
        <f>D94+F93+F92-D92</f>
        <v>2315</v>
      </c>
      <c r="F94" s="1">
        <f>2476/2</f>
        <v>1238</v>
      </c>
    </row>
    <row r="95" spans="1:5" ht="12.75" customHeight="1">
      <c r="A95" s="1">
        <v>1944</v>
      </c>
      <c r="B95" s="4">
        <v>38124</v>
      </c>
      <c r="C95" s="5" t="s">
        <v>45</v>
      </c>
      <c r="D95" s="1">
        <f>374/2+1</f>
        <v>188</v>
      </c>
      <c r="E95" s="1">
        <f>D95+F94-D94</f>
        <v>911</v>
      </c>
    </row>
    <row r="96" spans="2:5" ht="12.75" customHeight="1">
      <c r="B96" s="4">
        <v>38174</v>
      </c>
      <c r="C96" s="5" t="s">
        <v>46</v>
      </c>
      <c r="D96" s="1">
        <f>1134/2+1</f>
        <v>568</v>
      </c>
      <c r="E96" s="1">
        <f>D96-D95</f>
        <v>380</v>
      </c>
    </row>
    <row r="97" spans="2:6" ht="12.75" customHeight="1">
      <c r="B97" s="4">
        <v>38232</v>
      </c>
      <c r="C97" s="5" t="s">
        <v>134</v>
      </c>
      <c r="D97" s="1">
        <f>2032/2+1</f>
        <v>1017</v>
      </c>
      <c r="E97" s="1">
        <f>D97-D96</f>
        <v>449</v>
      </c>
      <c r="F97" s="1">
        <f>2484/2</f>
        <v>1242</v>
      </c>
    </row>
    <row r="98" spans="1:5" ht="12.75" customHeight="1">
      <c r="A98" s="1">
        <v>1945</v>
      </c>
      <c r="B98" s="4">
        <v>38183</v>
      </c>
      <c r="C98" s="5" t="s">
        <v>179</v>
      </c>
      <c r="D98" s="1">
        <f>1222/2+1</f>
        <v>612</v>
      </c>
      <c r="E98" s="1">
        <f>D98+F97-D97</f>
        <v>837</v>
      </c>
    </row>
    <row r="99" spans="2:6" ht="12.75" customHeight="1">
      <c r="B99" s="4">
        <v>38203</v>
      </c>
      <c r="C99" s="5" t="s">
        <v>180</v>
      </c>
      <c r="D99" s="1">
        <f>1516/2+1</f>
        <v>759</v>
      </c>
      <c r="E99" s="1">
        <f>D99-D98</f>
        <v>147</v>
      </c>
      <c r="F99" s="1">
        <f>2460/2</f>
        <v>1230</v>
      </c>
    </row>
    <row r="100" spans="1:5" ht="12.75" customHeight="1">
      <c r="A100" s="1">
        <v>1946</v>
      </c>
      <c r="B100" s="4">
        <v>38126</v>
      </c>
      <c r="C100" s="5" t="s">
        <v>72</v>
      </c>
      <c r="D100" s="1">
        <f>418/2+1</f>
        <v>210</v>
      </c>
      <c r="E100" s="1">
        <f>D100+F99-D99</f>
        <v>681</v>
      </c>
    </row>
    <row r="101" spans="2:6" ht="12.75" customHeight="1">
      <c r="B101" s="4">
        <v>38189</v>
      </c>
      <c r="C101" s="5" t="s">
        <v>47</v>
      </c>
      <c r="D101" s="1">
        <f>1362/2+1</f>
        <v>682</v>
      </c>
      <c r="E101" s="1">
        <f>D101-D100</f>
        <v>472</v>
      </c>
      <c r="F101" s="1">
        <f>2484/2</f>
        <v>1242</v>
      </c>
    </row>
    <row r="102" spans="1:5" ht="12.75" customHeight="1">
      <c r="A102" s="1">
        <v>1947</v>
      </c>
      <c r="B102" s="4">
        <v>38120</v>
      </c>
      <c r="C102" s="5" t="s">
        <v>45</v>
      </c>
      <c r="D102" s="1">
        <f>324/2+1</f>
        <v>163</v>
      </c>
      <c r="E102" s="1">
        <f>D102+F101-D101</f>
        <v>723</v>
      </c>
    </row>
    <row r="103" spans="2:6" ht="12.75" customHeight="1">
      <c r="B103" s="4">
        <v>38244</v>
      </c>
      <c r="C103" s="5" t="s">
        <v>65</v>
      </c>
      <c r="D103" s="1">
        <f>2260/2+1</f>
        <v>1131</v>
      </c>
      <c r="E103" s="1">
        <f>D103-D102</f>
        <v>968</v>
      </c>
      <c r="F103" s="1">
        <f>2486/2</f>
        <v>1243</v>
      </c>
    </row>
    <row r="104" spans="1:5" ht="12.75" customHeight="1">
      <c r="A104" s="1">
        <v>1948</v>
      </c>
      <c r="B104" s="4">
        <v>38127</v>
      </c>
      <c r="C104" s="5" t="s">
        <v>89</v>
      </c>
      <c r="D104" s="1">
        <f>384/2+1</f>
        <v>193</v>
      </c>
      <c r="E104" s="1">
        <f>D104+F103-D103</f>
        <v>305</v>
      </c>
    </row>
    <row r="105" spans="2:5" ht="12.75" customHeight="1">
      <c r="B105" s="4">
        <v>38198</v>
      </c>
      <c r="C105" s="5" t="s">
        <v>181</v>
      </c>
      <c r="D105" s="1">
        <f>1470/2+1</f>
        <v>736</v>
      </c>
      <c r="E105" s="1">
        <f>D105-D104</f>
        <v>543</v>
      </c>
    </row>
    <row r="106" spans="2:6" ht="12.75" customHeight="1">
      <c r="B106" s="4">
        <v>38228</v>
      </c>
      <c r="C106" s="5" t="s">
        <v>135</v>
      </c>
      <c r="D106" s="1">
        <f>1920/2+1</f>
        <v>961</v>
      </c>
      <c r="E106" s="1">
        <f>D106-D105</f>
        <v>225</v>
      </c>
      <c r="F106" s="1">
        <f>2474/2</f>
        <v>1237</v>
      </c>
    </row>
    <row r="107" spans="1:5" ht="12.75" customHeight="1">
      <c r="A107" s="1">
        <v>1949</v>
      </c>
      <c r="B107" s="4">
        <v>38152</v>
      </c>
      <c r="C107" s="5" t="s">
        <v>181</v>
      </c>
      <c r="D107" s="1">
        <f>820/2+1</f>
        <v>411</v>
      </c>
      <c r="E107" s="1">
        <f>D107+F106-D106</f>
        <v>687</v>
      </c>
    </row>
    <row r="108" spans="2:5" ht="12.75" customHeight="1">
      <c r="B108" s="4">
        <v>38163</v>
      </c>
      <c r="C108" s="5" t="s">
        <v>136</v>
      </c>
      <c r="D108" s="1">
        <f>994/2+1</f>
        <v>498</v>
      </c>
      <c r="E108" s="1">
        <f>D108-D107</f>
        <v>87</v>
      </c>
    </row>
    <row r="109" spans="2:6" ht="12.75" customHeight="1">
      <c r="B109" s="4">
        <v>38192</v>
      </c>
      <c r="C109" s="5" t="s">
        <v>114</v>
      </c>
      <c r="D109" s="1">
        <f>1416/2+1</f>
        <v>709</v>
      </c>
      <c r="E109" s="1">
        <f>D109-D108</f>
        <v>211</v>
      </c>
      <c r="F109" s="1">
        <f>2480/2</f>
        <v>1240</v>
      </c>
    </row>
    <row r="110" spans="1:5" ht="12.75" customHeight="1">
      <c r="A110" s="1">
        <v>1950</v>
      </c>
      <c r="B110" s="4">
        <v>38140</v>
      </c>
      <c r="C110" s="5" t="s">
        <v>66</v>
      </c>
      <c r="D110" s="1">
        <f>596/2+1</f>
        <v>299</v>
      </c>
      <c r="E110" s="1">
        <f>D110+F109-D109</f>
        <v>830</v>
      </c>
    </row>
    <row r="111" spans="2:5" ht="12.75" customHeight="1">
      <c r="B111" s="4">
        <v>38163</v>
      </c>
      <c r="C111" s="5" t="s">
        <v>182</v>
      </c>
      <c r="D111" s="1">
        <f>944/2+1</f>
        <v>473</v>
      </c>
      <c r="E111" s="1">
        <f>D111-D110</f>
        <v>174</v>
      </c>
    </row>
    <row r="112" spans="2:5" ht="12.75" customHeight="1">
      <c r="B112" s="4">
        <v>38166</v>
      </c>
      <c r="C112" s="5" t="s">
        <v>124</v>
      </c>
      <c r="D112" s="1">
        <f>992/2+1</f>
        <v>497</v>
      </c>
      <c r="E112" s="1">
        <f>D112-D111</f>
        <v>24</v>
      </c>
    </row>
    <row r="113" spans="2:5" ht="12.75" customHeight="1">
      <c r="B113" s="4">
        <v>38201</v>
      </c>
      <c r="C113" s="5" t="s">
        <v>13</v>
      </c>
      <c r="D113" s="1">
        <f>1536/2+1</f>
        <v>769</v>
      </c>
      <c r="E113" s="1">
        <f>D113-D112</f>
        <v>272</v>
      </c>
    </row>
    <row r="114" spans="2:6" ht="12.75" customHeight="1">
      <c r="B114" s="4">
        <v>38237</v>
      </c>
      <c r="C114" s="5" t="s">
        <v>67</v>
      </c>
      <c r="D114" s="1">
        <f>2096/2+1</f>
        <v>1049</v>
      </c>
      <c r="E114" s="1">
        <f>D114-D113</f>
        <v>280</v>
      </c>
      <c r="F114" s="1">
        <f>2476/2</f>
        <v>1238</v>
      </c>
    </row>
    <row r="115" spans="1:6" ht="12.75" customHeight="1">
      <c r="A115" s="1">
        <v>1951</v>
      </c>
      <c r="B115" s="4">
        <v>38142</v>
      </c>
      <c r="C115" s="5" t="s">
        <v>183</v>
      </c>
      <c r="D115" s="1">
        <f>680/2+1</f>
        <v>341</v>
      </c>
      <c r="E115" s="1">
        <f>D115+F114-D114</f>
        <v>530</v>
      </c>
      <c r="F115" s="1">
        <f>2478/2</f>
        <v>1239</v>
      </c>
    </row>
    <row r="116" spans="1:6" ht="12.75" customHeight="1">
      <c r="A116" s="1">
        <v>1952</v>
      </c>
      <c r="B116" s="4">
        <v>38142</v>
      </c>
      <c r="C116" s="5" t="s">
        <v>24</v>
      </c>
      <c r="D116" s="1">
        <f>672/2+1</f>
        <v>337</v>
      </c>
      <c r="E116" s="1">
        <f>D116+F115-D115</f>
        <v>1235</v>
      </c>
      <c r="F116" s="1">
        <f>2478/2</f>
        <v>1239</v>
      </c>
    </row>
    <row r="117" spans="1:6" ht="12.75" customHeight="1">
      <c r="A117" s="1">
        <v>1953</v>
      </c>
      <c r="C117" s="6" t="s">
        <v>205</v>
      </c>
      <c r="F117" s="1">
        <f>2480/2</f>
        <v>1240</v>
      </c>
    </row>
    <row r="118" spans="1:6" ht="12.75" customHeight="1">
      <c r="A118" s="1">
        <v>1954</v>
      </c>
      <c r="B118" s="4">
        <v>38179</v>
      </c>
      <c r="C118" s="5" t="s">
        <v>148</v>
      </c>
      <c r="D118" s="1">
        <f>1280/2+1</f>
        <v>641</v>
      </c>
      <c r="E118" s="1">
        <f>D118+F117+F116-D116</f>
        <v>2783</v>
      </c>
      <c r="F118" s="1">
        <f>2474/2</f>
        <v>1237</v>
      </c>
    </row>
    <row r="119" spans="1:6" ht="12.75" customHeight="1">
      <c r="A119" s="1">
        <v>1955</v>
      </c>
      <c r="C119" s="6" t="s">
        <v>205</v>
      </c>
      <c r="F119" s="1">
        <f>2468/2</f>
        <v>1234</v>
      </c>
    </row>
    <row r="120" spans="1:6" ht="12.75" customHeight="1">
      <c r="A120" s="1">
        <v>1956</v>
      </c>
      <c r="C120" s="6" t="s">
        <v>205</v>
      </c>
      <c r="F120" s="1">
        <f>2478/2</f>
        <v>1239</v>
      </c>
    </row>
    <row r="121" spans="1:5" ht="12.75" customHeight="1">
      <c r="A121" s="1">
        <v>1957</v>
      </c>
      <c r="B121" s="4">
        <v>38170</v>
      </c>
      <c r="C121" s="5" t="s">
        <v>125</v>
      </c>
      <c r="D121" s="1">
        <f>1144/2+1</f>
        <v>573</v>
      </c>
      <c r="E121" s="1">
        <f>D121+F120+F119+F118-D118</f>
        <v>3642</v>
      </c>
    </row>
    <row r="122" spans="2:6" ht="12.75" customHeight="1">
      <c r="B122" s="4">
        <v>38191</v>
      </c>
      <c r="C122" s="5" t="s">
        <v>92</v>
      </c>
      <c r="D122" s="1">
        <f>1446/2+1</f>
        <v>724</v>
      </c>
      <c r="E122" s="1">
        <f>D122-D121</f>
        <v>151</v>
      </c>
      <c r="F122" s="1">
        <f>2470/2</f>
        <v>1235</v>
      </c>
    </row>
    <row r="123" spans="1:6" ht="12.75" customHeight="1">
      <c r="A123" s="1">
        <v>1958</v>
      </c>
      <c r="C123" s="6" t="s">
        <v>205</v>
      </c>
      <c r="F123" s="1">
        <f>2470/2</f>
        <v>1235</v>
      </c>
    </row>
    <row r="124" spans="1:6" ht="12.75" customHeight="1">
      <c r="A124" s="1">
        <v>1959</v>
      </c>
      <c r="B124" s="4">
        <v>38109</v>
      </c>
      <c r="C124" s="5" t="s">
        <v>192</v>
      </c>
      <c r="D124" s="1">
        <f>262/2+1</f>
        <v>132</v>
      </c>
      <c r="E124" s="1">
        <f>D124+F123+F122-D122</f>
        <v>1878</v>
      </c>
      <c r="F124" s="1">
        <f>2476/2</f>
        <v>1238</v>
      </c>
    </row>
    <row r="125" spans="1:5" ht="12.75" customHeight="1">
      <c r="A125" s="1">
        <v>1960</v>
      </c>
      <c r="B125" s="4">
        <v>38183</v>
      </c>
      <c r="C125" s="5" t="s">
        <v>35</v>
      </c>
      <c r="D125" s="1">
        <f>1256/2+1</f>
        <v>629</v>
      </c>
      <c r="E125" s="1">
        <f>D125+F124-D124</f>
        <v>1735</v>
      </c>
    </row>
    <row r="126" spans="2:6" ht="12.75" customHeight="1">
      <c r="B126" s="4">
        <v>38213</v>
      </c>
      <c r="C126" s="5" t="s">
        <v>115</v>
      </c>
      <c r="D126" s="1">
        <f>1726/2+1</f>
        <v>864</v>
      </c>
      <c r="E126" s="1">
        <f>D126-D125</f>
        <v>235</v>
      </c>
      <c r="F126" s="1">
        <f>2472/2</f>
        <v>1236</v>
      </c>
    </row>
    <row r="127" spans="1:6" ht="12.75" customHeight="1">
      <c r="A127" s="1">
        <v>1961</v>
      </c>
      <c r="B127" s="4">
        <v>38244</v>
      </c>
      <c r="C127" s="5" t="s">
        <v>116</v>
      </c>
      <c r="D127" s="1">
        <f>2588/2+1</f>
        <v>1295</v>
      </c>
      <c r="E127" s="1">
        <f>D127+F126-D126</f>
        <v>1667</v>
      </c>
      <c r="F127" s="1">
        <f>2860/2</f>
        <v>1430</v>
      </c>
    </row>
    <row r="128" spans="1:6" ht="12.75" customHeight="1">
      <c r="A128" s="1">
        <v>1962</v>
      </c>
      <c r="B128" s="4">
        <v>38181</v>
      </c>
      <c r="C128" s="5" t="s">
        <v>48</v>
      </c>
      <c r="D128" s="1">
        <f>1712/2+1</f>
        <v>857</v>
      </c>
      <c r="E128" s="1">
        <f>D128+F127-D127</f>
        <v>992</v>
      </c>
      <c r="F128" s="1">
        <f>3242/2</f>
        <v>1621</v>
      </c>
    </row>
    <row r="129" spans="1:5" ht="12.75" customHeight="1">
      <c r="A129" s="1">
        <v>1963</v>
      </c>
      <c r="B129" s="4">
        <v>38165</v>
      </c>
      <c r="C129" s="5" t="s">
        <v>169</v>
      </c>
      <c r="D129" s="1">
        <f>1446/2+1</f>
        <v>724</v>
      </c>
      <c r="E129" s="1">
        <f>D129+F128-D128</f>
        <v>1488</v>
      </c>
    </row>
    <row r="130" spans="2:6" ht="12.75" customHeight="1">
      <c r="B130" s="4">
        <v>38206</v>
      </c>
      <c r="C130" s="5" t="s">
        <v>161</v>
      </c>
      <c r="D130" s="1">
        <f>2226/2+1</f>
        <v>1114</v>
      </c>
      <c r="E130" s="1">
        <f>D130-D129</f>
        <v>390</v>
      </c>
      <c r="F130" s="1">
        <f>3238/2</f>
        <v>1619</v>
      </c>
    </row>
    <row r="131" spans="1:5" ht="12.75" customHeight="1">
      <c r="A131" s="1">
        <v>1964</v>
      </c>
      <c r="B131" s="4">
        <v>38133</v>
      </c>
      <c r="C131" s="5" t="s">
        <v>37</v>
      </c>
      <c r="D131" s="1">
        <f>734/2+1</f>
        <v>368</v>
      </c>
      <c r="E131" s="1">
        <f>D131+F130-D130</f>
        <v>873</v>
      </c>
    </row>
    <row r="132" spans="2:5" ht="12.75" customHeight="1">
      <c r="B132" s="4">
        <v>38154</v>
      </c>
      <c r="C132" s="5" t="s">
        <v>116</v>
      </c>
      <c r="D132" s="1">
        <f>1140/2+1</f>
        <v>571</v>
      </c>
      <c r="E132" s="1">
        <f>D132-D131</f>
        <v>203</v>
      </c>
    </row>
    <row r="133" spans="2:5" ht="12.75" customHeight="1">
      <c r="B133" s="4">
        <v>38190</v>
      </c>
      <c r="C133" s="5" t="s">
        <v>184</v>
      </c>
      <c r="D133" s="1">
        <f>1862/2+1</f>
        <v>932</v>
      </c>
      <c r="E133" s="1">
        <f>D133-D132</f>
        <v>361</v>
      </c>
    </row>
    <row r="134" spans="2:6" ht="12.75" customHeight="1">
      <c r="B134" s="4">
        <v>38196</v>
      </c>
      <c r="C134" s="5" t="s">
        <v>1</v>
      </c>
      <c r="D134" s="1">
        <f>1984/2+1</f>
        <v>993</v>
      </c>
      <c r="E134" s="1">
        <f>D134-D133</f>
        <v>61</v>
      </c>
      <c r="F134" s="1">
        <f>3252/2</f>
        <v>1626</v>
      </c>
    </row>
    <row r="135" spans="1:6" ht="12.75" customHeight="1">
      <c r="A135" s="1">
        <v>1965</v>
      </c>
      <c r="B135" s="4">
        <v>38121</v>
      </c>
      <c r="C135" s="5" t="s">
        <v>49</v>
      </c>
      <c r="D135" s="1">
        <f>514/2+1</f>
        <v>258</v>
      </c>
      <c r="E135" s="1">
        <f>D135+F134-D134</f>
        <v>891</v>
      </c>
      <c r="F135" s="1">
        <f>3246/2</f>
        <v>1623</v>
      </c>
    </row>
    <row r="136" spans="1:5" ht="12.75" customHeight="1">
      <c r="A136" s="1">
        <v>1966</v>
      </c>
      <c r="B136" s="4">
        <v>38185</v>
      </c>
      <c r="C136" s="5" t="s">
        <v>126</v>
      </c>
      <c r="D136" s="1">
        <f>1760/2+1</f>
        <v>881</v>
      </c>
      <c r="E136" s="1">
        <f>D136+F135-D135</f>
        <v>2246</v>
      </c>
    </row>
    <row r="137" spans="2:6" ht="12.75" customHeight="1">
      <c r="B137" s="4">
        <v>38210</v>
      </c>
      <c r="C137" s="5" t="s">
        <v>127</v>
      </c>
      <c r="D137" s="1">
        <f>2262/2+1</f>
        <v>1132</v>
      </c>
      <c r="E137" s="1">
        <f>D137-D136</f>
        <v>251</v>
      </c>
      <c r="F137" s="1">
        <f>3230/2</f>
        <v>1615</v>
      </c>
    </row>
    <row r="138" spans="1:6" ht="12.75" customHeight="1">
      <c r="A138" s="1">
        <v>1967</v>
      </c>
      <c r="C138" s="6" t="s">
        <v>205</v>
      </c>
      <c r="F138" s="1">
        <f>3240/2</f>
        <v>1620</v>
      </c>
    </row>
    <row r="139" spans="1:6" ht="12.75" customHeight="1">
      <c r="A139" s="1">
        <v>1968</v>
      </c>
      <c r="B139" s="4">
        <v>38127</v>
      </c>
      <c r="C139" s="5" t="s">
        <v>1</v>
      </c>
      <c r="D139" s="1">
        <f>696/2+1</f>
        <v>349</v>
      </c>
      <c r="E139" s="1">
        <f>D139+F138+F137-D137</f>
        <v>2452</v>
      </c>
      <c r="F139" s="1">
        <f>3250/2</f>
        <v>1625</v>
      </c>
    </row>
    <row r="140" spans="1:6" ht="12.75" customHeight="1">
      <c r="A140" s="1">
        <v>1969</v>
      </c>
      <c r="C140" s="6" t="s">
        <v>205</v>
      </c>
      <c r="F140" s="1">
        <f>3892/2</f>
        <v>1946</v>
      </c>
    </row>
    <row r="141" spans="1:5" ht="12.75" customHeight="1">
      <c r="A141" s="1">
        <v>1970</v>
      </c>
      <c r="B141" s="4">
        <v>38114</v>
      </c>
      <c r="C141" s="5" t="s">
        <v>137</v>
      </c>
      <c r="D141" s="1">
        <f>592/2+1</f>
        <v>297</v>
      </c>
      <c r="E141" s="1">
        <f>D141+F140+F139-D139</f>
        <v>3519</v>
      </c>
    </row>
    <row r="142" spans="2:5" ht="12.75" customHeight="1">
      <c r="B142" s="4">
        <v>38127</v>
      </c>
      <c r="C142" s="5" t="s">
        <v>73</v>
      </c>
      <c r="D142" s="1">
        <f>864/2+1</f>
        <v>433</v>
      </c>
      <c r="E142" s="1">
        <f>D142-D141</f>
        <v>136</v>
      </c>
    </row>
    <row r="143" spans="2:5" ht="12.75" customHeight="1">
      <c r="B143" s="4">
        <v>38170</v>
      </c>
      <c r="C143" s="5" t="s">
        <v>25</v>
      </c>
      <c r="D143" s="1">
        <f>1792/2+1</f>
        <v>897</v>
      </c>
      <c r="E143" s="1">
        <f>D143-D142</f>
        <v>464</v>
      </c>
    </row>
    <row r="144" spans="2:5" ht="12.75" customHeight="1">
      <c r="B144" s="4">
        <v>38174</v>
      </c>
      <c r="C144" s="5" t="s">
        <v>162</v>
      </c>
      <c r="D144" s="1">
        <f>1896/2+1</f>
        <v>949</v>
      </c>
      <c r="E144" s="1">
        <f>D144-D143</f>
        <v>52</v>
      </c>
    </row>
    <row r="145" spans="2:6" ht="12.75" customHeight="1">
      <c r="B145" s="4">
        <v>38176</v>
      </c>
      <c r="C145" s="5" t="s">
        <v>149</v>
      </c>
      <c r="D145" s="1">
        <f>1950/2+1</f>
        <v>976</v>
      </c>
      <c r="E145" s="1">
        <f>D145-D144</f>
        <v>27</v>
      </c>
      <c r="F145" s="1">
        <f>3888/2</f>
        <v>1944</v>
      </c>
    </row>
    <row r="146" spans="1:6" ht="12.75" customHeight="1">
      <c r="A146" s="1">
        <v>1971</v>
      </c>
      <c r="B146" s="4">
        <v>38177</v>
      </c>
      <c r="C146" s="5" t="s">
        <v>57</v>
      </c>
      <c r="D146" s="1">
        <f>2030/2+1</f>
        <v>1016</v>
      </c>
      <c r="E146" s="1">
        <f>D146+F145-D145</f>
        <v>1984</v>
      </c>
      <c r="F146" s="1">
        <f>3876/2</f>
        <v>1938</v>
      </c>
    </row>
    <row r="147" spans="1:5" ht="12.75" customHeight="1">
      <c r="A147" s="1">
        <v>1972</v>
      </c>
      <c r="B147" s="4">
        <v>38093</v>
      </c>
      <c r="C147" s="5" t="s">
        <v>150</v>
      </c>
      <c r="D147" s="1">
        <f>22/2+1</f>
        <v>12</v>
      </c>
      <c r="E147" s="1">
        <f>D147+F146-D146</f>
        <v>934</v>
      </c>
    </row>
    <row r="148" spans="2:5" ht="12.75" customHeight="1">
      <c r="B148" s="4">
        <v>38201</v>
      </c>
      <c r="C148" s="5" t="s">
        <v>95</v>
      </c>
      <c r="D148" s="1">
        <f>2306/2+1</f>
        <v>1154</v>
      </c>
      <c r="E148" s="1">
        <f>D148-D147</f>
        <v>1142</v>
      </c>
    </row>
    <row r="149" spans="2:5" ht="12.75" customHeight="1">
      <c r="B149" s="4">
        <v>38228</v>
      </c>
      <c r="C149" s="5" t="s">
        <v>93</v>
      </c>
      <c r="D149" s="1">
        <f>2912/2+1</f>
        <v>1457</v>
      </c>
      <c r="E149" s="1">
        <f>D149-D148</f>
        <v>303</v>
      </c>
    </row>
    <row r="150" spans="2:6" ht="12.75" customHeight="1">
      <c r="B150" s="4">
        <v>38249</v>
      </c>
      <c r="C150" s="5" t="s">
        <v>74</v>
      </c>
      <c r="D150" s="1">
        <f>3396/2+1</f>
        <v>1699</v>
      </c>
      <c r="E150" s="1">
        <f>D150-D149</f>
        <v>242</v>
      </c>
      <c r="F150" s="1">
        <f>3718/2</f>
        <v>1859</v>
      </c>
    </row>
    <row r="151" spans="1:6" ht="12.75" customHeight="1">
      <c r="A151" s="1">
        <v>1973</v>
      </c>
      <c r="B151" s="4">
        <v>38165</v>
      </c>
      <c r="C151" s="5" t="s">
        <v>117</v>
      </c>
      <c r="D151" s="1">
        <f>1694/2+1</f>
        <v>848</v>
      </c>
      <c r="E151" s="1">
        <f>D151+F150-D150</f>
        <v>1008</v>
      </c>
      <c r="F151" s="1">
        <f>3886/2</f>
        <v>1943</v>
      </c>
    </row>
    <row r="152" spans="1:6" ht="12.75" customHeight="1">
      <c r="A152" s="1">
        <v>1974</v>
      </c>
      <c r="B152" s="4">
        <v>38147</v>
      </c>
      <c r="C152" s="5" t="s">
        <v>185</v>
      </c>
      <c r="D152" s="1">
        <f>1296/2+1</f>
        <v>649</v>
      </c>
      <c r="E152" s="1">
        <f>D152+F151-D151</f>
        <v>1744</v>
      </c>
      <c r="F152" s="1">
        <f>3890/2</f>
        <v>1945</v>
      </c>
    </row>
    <row r="153" spans="1:6" ht="12.75" customHeight="1">
      <c r="A153" s="1">
        <v>1975</v>
      </c>
      <c r="B153" s="4">
        <v>38134</v>
      </c>
      <c r="C153" s="5" t="s">
        <v>118</v>
      </c>
      <c r="D153" s="1">
        <f>988/2+1</f>
        <v>495</v>
      </c>
      <c r="E153" s="1">
        <f>D153+F152-D152</f>
        <v>1791</v>
      </c>
      <c r="F153" s="1">
        <f>3868/2</f>
        <v>1934</v>
      </c>
    </row>
    <row r="154" spans="1:5" ht="12.75" customHeight="1">
      <c r="A154" s="1">
        <v>1976</v>
      </c>
      <c r="B154" s="4">
        <v>38828</v>
      </c>
      <c r="C154" s="5" t="s">
        <v>156</v>
      </c>
      <c r="D154" s="1">
        <v>108</v>
      </c>
      <c r="E154" s="1">
        <f>D154+F153-D153</f>
        <v>1547</v>
      </c>
    </row>
    <row r="155" spans="2:5" ht="12.75" customHeight="1">
      <c r="B155" s="4">
        <v>38142</v>
      </c>
      <c r="C155" s="5" t="s">
        <v>75</v>
      </c>
      <c r="D155" s="1">
        <f>1102/2+1</f>
        <v>552</v>
      </c>
      <c r="E155" s="1">
        <f>D155-D154</f>
        <v>444</v>
      </c>
    </row>
    <row r="156" spans="2:5" ht="12.75" customHeight="1">
      <c r="B156" s="4">
        <v>38163</v>
      </c>
      <c r="C156" s="5" t="s">
        <v>163</v>
      </c>
      <c r="D156" s="1">
        <f>1586/2+1</f>
        <v>794</v>
      </c>
      <c r="E156" s="1">
        <f>D156-D155</f>
        <v>242</v>
      </c>
    </row>
    <row r="157" spans="2:5" ht="12.75" customHeight="1">
      <c r="B157" s="4">
        <v>38192</v>
      </c>
      <c r="C157" s="5" t="s">
        <v>76</v>
      </c>
      <c r="D157" s="1">
        <f>2222/2+1</f>
        <v>1112</v>
      </c>
      <c r="E157" s="1">
        <f>D157-D156</f>
        <v>318</v>
      </c>
    </row>
    <row r="158" spans="2:5" ht="12.75" customHeight="1">
      <c r="B158" s="4">
        <v>38208</v>
      </c>
      <c r="C158" s="5" t="s">
        <v>95</v>
      </c>
      <c r="D158" s="1">
        <f>2632/2+1</f>
        <v>1317</v>
      </c>
      <c r="E158" s="1">
        <f>D158-D157</f>
        <v>205</v>
      </c>
    </row>
    <row r="159" spans="2:6" ht="12.75" customHeight="1">
      <c r="B159" s="4">
        <v>38233</v>
      </c>
      <c r="C159" s="5" t="s">
        <v>103</v>
      </c>
      <c r="D159" s="1">
        <f>3160/2+1</f>
        <v>1581</v>
      </c>
      <c r="E159" s="1">
        <f>D159-D158</f>
        <v>264</v>
      </c>
      <c r="F159" s="1">
        <f>3878/2</f>
        <v>1939</v>
      </c>
    </row>
    <row r="160" spans="1:5" ht="12.75" customHeight="1">
      <c r="A160" s="1">
        <v>1977</v>
      </c>
      <c r="B160" s="4">
        <v>38162</v>
      </c>
      <c r="C160" s="5" t="s">
        <v>50</v>
      </c>
      <c r="D160" s="1">
        <f>1730/2+1</f>
        <v>866</v>
      </c>
      <c r="E160" s="1">
        <f>D160+F159-D159</f>
        <v>1224</v>
      </c>
    </row>
    <row r="161" spans="2:5" ht="12.75" customHeight="1">
      <c r="B161" s="4">
        <v>38204</v>
      </c>
      <c r="C161" s="5" t="s">
        <v>58</v>
      </c>
      <c r="D161" s="1">
        <f>2746/2+1</f>
        <v>1374</v>
      </c>
      <c r="E161" s="1">
        <f>D161-D160</f>
        <v>508</v>
      </c>
    </row>
    <row r="162" spans="2:6" ht="12.75" customHeight="1">
      <c r="B162" s="4">
        <v>38254</v>
      </c>
      <c r="C162" s="5" t="s">
        <v>81</v>
      </c>
      <c r="D162" s="1">
        <f>3992/2+1</f>
        <v>1997</v>
      </c>
      <c r="E162" s="1">
        <f>D162-D161</f>
        <v>623</v>
      </c>
      <c r="F162" s="1">
        <f>4206/2</f>
        <v>2103</v>
      </c>
    </row>
    <row r="163" spans="1:5" ht="12.75" customHeight="1">
      <c r="A163" s="1">
        <v>1978</v>
      </c>
      <c r="B163" s="4">
        <v>38099</v>
      </c>
      <c r="C163" s="5" t="s">
        <v>26</v>
      </c>
      <c r="D163" s="1">
        <f>308/2+1</f>
        <v>155</v>
      </c>
      <c r="E163" s="1">
        <f>D163+F162-D162</f>
        <v>261</v>
      </c>
    </row>
    <row r="164" spans="2:5" ht="12.75" customHeight="1">
      <c r="B164" s="4">
        <v>38188</v>
      </c>
      <c r="C164" s="5" t="s">
        <v>153</v>
      </c>
      <c r="D164" s="1">
        <f>2392/2+1</f>
        <v>1197</v>
      </c>
      <c r="E164" s="1">
        <f>D164-D163</f>
        <v>1042</v>
      </c>
    </row>
    <row r="165" spans="2:6" ht="12.75" customHeight="1">
      <c r="B165" s="4">
        <v>38195</v>
      </c>
      <c r="C165" s="5" t="s">
        <v>77</v>
      </c>
      <c r="D165" s="1">
        <f>2574/2+1</f>
        <v>1288</v>
      </c>
      <c r="E165" s="1">
        <f>D165-D164</f>
        <v>91</v>
      </c>
      <c r="F165" s="1">
        <f>4204/2</f>
        <v>2102</v>
      </c>
    </row>
    <row r="166" spans="1:5" ht="12.75" customHeight="1">
      <c r="A166" s="1">
        <v>1979</v>
      </c>
      <c r="B166" s="4">
        <v>38135</v>
      </c>
      <c r="C166" s="5" t="s">
        <v>59</v>
      </c>
      <c r="D166" s="1">
        <f>1160/2+1</f>
        <v>581</v>
      </c>
      <c r="E166" s="1">
        <f>D166+F165-D165</f>
        <v>1395</v>
      </c>
    </row>
    <row r="167" spans="2:5" ht="12.75" customHeight="1">
      <c r="B167" s="4">
        <v>38209</v>
      </c>
      <c r="C167" s="5" t="s">
        <v>2</v>
      </c>
      <c r="D167" s="1">
        <f>2950/2+1</f>
        <v>1476</v>
      </c>
      <c r="E167" s="1">
        <f>D167-D166</f>
        <v>895</v>
      </c>
    </row>
    <row r="168" spans="2:5" ht="12.75" customHeight="1">
      <c r="B168" s="4">
        <v>38245</v>
      </c>
      <c r="C168" s="5" t="s">
        <v>50</v>
      </c>
      <c r="D168" s="1">
        <f>3794/2+1</f>
        <v>1898</v>
      </c>
      <c r="E168" s="1">
        <f>D168-D167</f>
        <v>422</v>
      </c>
    </row>
    <row r="169" spans="2:6" ht="12.75" customHeight="1">
      <c r="B169" s="4">
        <v>38256</v>
      </c>
      <c r="C169" s="5" t="s">
        <v>60</v>
      </c>
      <c r="D169" s="1">
        <f>4078/2+1</f>
        <v>2040</v>
      </c>
      <c r="E169" s="1">
        <f>D169-D168</f>
        <v>142</v>
      </c>
      <c r="F169" s="1">
        <f>4198/2</f>
        <v>2099</v>
      </c>
    </row>
    <row r="170" spans="1:5" ht="12.75" customHeight="1">
      <c r="A170" s="1">
        <v>1980</v>
      </c>
      <c r="B170" s="4">
        <v>38099</v>
      </c>
      <c r="C170" s="5" t="s">
        <v>128</v>
      </c>
      <c r="D170" s="1">
        <f>274/2+1</f>
        <v>138</v>
      </c>
      <c r="E170" s="1">
        <f>D170+F169-D169</f>
        <v>197</v>
      </c>
    </row>
    <row r="171" spans="2:5" ht="12.75" customHeight="1">
      <c r="B171" s="4">
        <v>38120</v>
      </c>
      <c r="C171" s="5" t="s">
        <v>51</v>
      </c>
      <c r="D171" s="1">
        <f>718/2+1</f>
        <v>360</v>
      </c>
      <c r="E171" s="1">
        <f>D171-D170</f>
        <v>222</v>
      </c>
    </row>
    <row r="172" spans="2:5" ht="12.75" customHeight="1">
      <c r="B172" s="4">
        <v>38180</v>
      </c>
      <c r="C172" s="5" t="s">
        <v>186</v>
      </c>
      <c r="D172" s="1">
        <f>2096/2+1</f>
        <v>1049</v>
      </c>
      <c r="E172" s="1">
        <f>D172-D171</f>
        <v>689</v>
      </c>
    </row>
    <row r="173" spans="2:5" ht="12.75" customHeight="1">
      <c r="B173" s="4">
        <v>38248</v>
      </c>
      <c r="C173" s="5" t="s">
        <v>78</v>
      </c>
      <c r="D173" s="1">
        <f>3782/2+1</f>
        <v>1892</v>
      </c>
      <c r="E173" s="1">
        <f>D173-D172</f>
        <v>843</v>
      </c>
    </row>
    <row r="174" spans="2:6" ht="12.75" customHeight="1">
      <c r="B174" s="4">
        <v>38261</v>
      </c>
      <c r="C174" s="5" t="s">
        <v>104</v>
      </c>
      <c r="D174" s="1">
        <f>4090/2+1</f>
        <v>2046</v>
      </c>
      <c r="E174" s="1">
        <f>D174-D173</f>
        <v>154</v>
      </c>
      <c r="F174" s="1">
        <f>4210/2</f>
        <v>2105</v>
      </c>
    </row>
    <row r="175" spans="1:8" ht="12.75" customHeight="1">
      <c r="A175" s="1">
        <v>1981</v>
      </c>
      <c r="C175" s="6" t="s">
        <v>205</v>
      </c>
      <c r="F175" s="1">
        <f>2788/2</f>
        <v>1394</v>
      </c>
      <c r="H175" s="3" t="s">
        <v>209</v>
      </c>
    </row>
    <row r="176" spans="1:6" ht="12.75" customHeight="1">
      <c r="A176" s="1">
        <v>1982</v>
      </c>
      <c r="B176" s="4">
        <v>38202</v>
      </c>
      <c r="C176" s="5" t="s">
        <v>60</v>
      </c>
      <c r="D176" s="1">
        <f>2678/2+1</f>
        <v>1340</v>
      </c>
      <c r="E176" s="1">
        <f>D176+F175+F174-D174</f>
        <v>2793</v>
      </c>
      <c r="F176" s="1">
        <f>4214/2</f>
        <v>2107</v>
      </c>
    </row>
    <row r="177" spans="1:6" ht="12.75" customHeight="1">
      <c r="A177" s="1">
        <v>1983</v>
      </c>
      <c r="C177" s="6" t="s">
        <v>205</v>
      </c>
      <c r="F177" s="1">
        <f>4218/2</f>
        <v>2109</v>
      </c>
    </row>
    <row r="178" spans="1:5" ht="12.75" customHeight="1">
      <c r="A178" s="1">
        <v>1984</v>
      </c>
      <c r="B178" s="4">
        <v>38113</v>
      </c>
      <c r="C178" s="5" t="s">
        <v>36</v>
      </c>
      <c r="D178" s="1">
        <f>674/2+1</f>
        <v>338</v>
      </c>
      <c r="E178" s="1">
        <f>D178+F177+F176-D176</f>
        <v>3214</v>
      </c>
    </row>
    <row r="179" spans="2:5" ht="12.75" customHeight="1">
      <c r="B179" s="4">
        <v>38123</v>
      </c>
      <c r="C179" s="5" t="s">
        <v>82</v>
      </c>
      <c r="D179" s="1">
        <f>900/2+1</f>
        <v>451</v>
      </c>
      <c r="E179" s="1">
        <f>D179-D178</f>
        <v>113</v>
      </c>
    </row>
    <row r="180" spans="2:5" ht="12.75" customHeight="1">
      <c r="B180" s="4">
        <v>38161</v>
      </c>
      <c r="C180" s="5" t="s">
        <v>119</v>
      </c>
      <c r="D180" s="1">
        <f>1778/2+1</f>
        <v>890</v>
      </c>
      <c r="E180" s="1">
        <f>D180-D179</f>
        <v>439</v>
      </c>
    </row>
    <row r="181" spans="2:6" ht="12.75" customHeight="1">
      <c r="B181" s="4">
        <v>38166</v>
      </c>
      <c r="C181" s="5" t="s">
        <v>52</v>
      </c>
      <c r="D181" s="1">
        <f>1912/2+1</f>
        <v>957</v>
      </c>
      <c r="E181" s="1">
        <f>D181-D180</f>
        <v>67</v>
      </c>
      <c r="F181" s="1">
        <f>4210/2</f>
        <v>2105</v>
      </c>
    </row>
    <row r="182" spans="1:5" ht="12.75" customHeight="1">
      <c r="A182" s="1">
        <v>1985</v>
      </c>
      <c r="B182" s="4">
        <v>38165</v>
      </c>
      <c r="C182" s="5" t="s">
        <v>151</v>
      </c>
      <c r="D182" s="1">
        <f>1790/2+1</f>
        <v>896</v>
      </c>
      <c r="E182" s="1">
        <f>D182+F181-D181</f>
        <v>2044</v>
      </c>
    </row>
    <row r="183" spans="2:5" ht="12.75" customHeight="1">
      <c r="B183" s="4">
        <v>38172</v>
      </c>
      <c r="C183" s="5" t="s">
        <v>164</v>
      </c>
      <c r="D183" s="1">
        <f>1954/2+1</f>
        <v>978</v>
      </c>
      <c r="E183" s="1">
        <f>D183-D182</f>
        <v>82</v>
      </c>
    </row>
    <row r="184" spans="2:5" ht="12.75" customHeight="1">
      <c r="B184" s="4">
        <v>38191</v>
      </c>
      <c r="C184" s="5" t="s">
        <v>38</v>
      </c>
      <c r="D184" s="1">
        <f>2370/2+1</f>
        <v>1186</v>
      </c>
      <c r="E184" s="1">
        <f>D184-D183</f>
        <v>208</v>
      </c>
    </row>
    <row r="185" spans="2:6" ht="12.75" customHeight="1">
      <c r="B185" s="4">
        <v>38248</v>
      </c>
      <c r="C185" s="5" t="s">
        <v>53</v>
      </c>
      <c r="D185" s="1">
        <f>3746/2+1</f>
        <v>1874</v>
      </c>
      <c r="E185" s="1">
        <f>D185-D184</f>
        <v>688</v>
      </c>
      <c r="F185" s="1">
        <f>4206/2</f>
        <v>2103</v>
      </c>
    </row>
    <row r="186" spans="1:5" ht="12.75" customHeight="1">
      <c r="A186" s="1">
        <v>1986</v>
      </c>
      <c r="B186" s="4">
        <v>38123</v>
      </c>
      <c r="C186" s="5" t="s">
        <v>14</v>
      </c>
      <c r="D186" s="1">
        <f>842/2+1</f>
        <v>422</v>
      </c>
      <c r="E186" s="1">
        <f>D186+F185-D185</f>
        <v>651</v>
      </c>
    </row>
    <row r="187" spans="2:6" ht="12.75" customHeight="1">
      <c r="B187" s="4">
        <v>38200</v>
      </c>
      <c r="C187" s="5" t="s">
        <v>79</v>
      </c>
      <c r="D187" s="1">
        <f>2616/2+1</f>
        <v>1309</v>
      </c>
      <c r="E187" s="1">
        <f>D187-D186</f>
        <v>887</v>
      </c>
      <c r="F187" s="1">
        <f>4206/2</f>
        <v>2103</v>
      </c>
    </row>
    <row r="188" spans="1:5" ht="12.75" customHeight="1">
      <c r="A188" s="1">
        <v>1987</v>
      </c>
      <c r="B188" s="4">
        <v>38106</v>
      </c>
      <c r="C188" s="5" t="s">
        <v>129</v>
      </c>
      <c r="D188" s="1">
        <f>504/2+1</f>
        <v>253</v>
      </c>
      <c r="E188" s="1">
        <f>D188+F187-D187</f>
        <v>1047</v>
      </c>
    </row>
    <row r="189" spans="2:5" ht="12.75" customHeight="1">
      <c r="B189" s="4">
        <v>38111</v>
      </c>
      <c r="C189" s="5" t="s">
        <v>152</v>
      </c>
      <c r="D189" s="1">
        <f>620/2+1</f>
        <v>311</v>
      </c>
      <c r="E189" s="1">
        <f>D189-D188</f>
        <v>58</v>
      </c>
    </row>
    <row r="190" spans="2:5" ht="12.75" customHeight="1">
      <c r="B190" s="4">
        <v>38215</v>
      </c>
      <c r="C190" s="5" t="s">
        <v>157</v>
      </c>
      <c r="D190" s="1">
        <f>3026/2+1</f>
        <v>1514</v>
      </c>
      <c r="E190" s="1">
        <f>D190-D189</f>
        <v>1203</v>
      </c>
    </row>
    <row r="191" spans="2:6" ht="12.75" customHeight="1">
      <c r="B191" s="4">
        <v>38253</v>
      </c>
      <c r="C191" s="5" t="s">
        <v>102</v>
      </c>
      <c r="D191" s="1">
        <f>3918/2+1</f>
        <v>1960</v>
      </c>
      <c r="E191" s="1">
        <f>D191-D190</f>
        <v>446</v>
      </c>
      <c r="F191" s="1">
        <f>4210/2</f>
        <v>2105</v>
      </c>
    </row>
    <row r="192" spans="1:5" ht="12.75" customHeight="1">
      <c r="A192" s="1">
        <v>1988</v>
      </c>
      <c r="B192" s="4">
        <v>38150</v>
      </c>
      <c r="C192" s="5" t="s">
        <v>105</v>
      </c>
      <c r="D192" s="1">
        <f>1536/2+1</f>
        <v>769</v>
      </c>
      <c r="E192" s="1">
        <f>D192+F191-D191</f>
        <v>914</v>
      </c>
    </row>
    <row r="193" spans="2:5" ht="12.75" customHeight="1">
      <c r="B193" s="4">
        <v>38177</v>
      </c>
      <c r="C193" s="5" t="s">
        <v>153</v>
      </c>
      <c r="D193" s="1">
        <f>2190/2+1</f>
        <v>1096</v>
      </c>
      <c r="E193" s="1">
        <f>D193-D192</f>
        <v>327</v>
      </c>
    </row>
    <row r="194" spans="2:6" ht="12.75" customHeight="1">
      <c r="B194" s="4">
        <v>38244</v>
      </c>
      <c r="C194" s="5" t="s">
        <v>54</v>
      </c>
      <c r="D194" s="1">
        <f>3748/2+1</f>
        <v>1875</v>
      </c>
      <c r="E194" s="1">
        <f>D194-D193</f>
        <v>779</v>
      </c>
      <c r="F194" s="1">
        <f>4200/2</f>
        <v>2100</v>
      </c>
    </row>
    <row r="195" spans="1:5" ht="12.75" customHeight="1">
      <c r="A195" s="1">
        <v>1989</v>
      </c>
      <c r="B195" s="4">
        <v>38093</v>
      </c>
      <c r="C195" s="5" t="s">
        <v>19</v>
      </c>
      <c r="D195" s="1">
        <f>266/2+1</f>
        <v>134</v>
      </c>
      <c r="E195" s="1">
        <f>D195+F194-D194</f>
        <v>359</v>
      </c>
    </row>
    <row r="196" spans="2:5" ht="12.75" customHeight="1">
      <c r="B196" s="4">
        <v>38140</v>
      </c>
      <c r="C196" s="5" t="s">
        <v>193</v>
      </c>
      <c r="D196" s="1">
        <f>1316/2+1</f>
        <v>659</v>
      </c>
      <c r="E196" s="1">
        <f>D196-D195</f>
        <v>525</v>
      </c>
    </row>
    <row r="197" spans="2:5" ht="12.75" customHeight="1">
      <c r="B197" s="4">
        <v>38200</v>
      </c>
      <c r="C197" s="5" t="s">
        <v>165</v>
      </c>
      <c r="D197" s="1">
        <f>2710/2+1</f>
        <v>1356</v>
      </c>
      <c r="E197" s="1">
        <f>D197-D196</f>
        <v>697</v>
      </c>
    </row>
    <row r="198" spans="2:6" ht="12.75" customHeight="1">
      <c r="B198" s="4">
        <v>38224</v>
      </c>
      <c r="C198" s="5" t="s">
        <v>187</v>
      </c>
      <c r="D198" s="1">
        <f>3302/2+1</f>
        <v>1652</v>
      </c>
      <c r="E198" s="1">
        <f>D198-D197</f>
        <v>296</v>
      </c>
      <c r="F198" s="1">
        <f>4212/2</f>
        <v>2106</v>
      </c>
    </row>
    <row r="199" spans="1:6" ht="12.75" customHeight="1">
      <c r="A199" s="1">
        <v>1990</v>
      </c>
      <c r="B199" s="4">
        <v>38193</v>
      </c>
      <c r="C199" s="5" t="s">
        <v>59</v>
      </c>
      <c r="D199" s="1">
        <f>2470/2+1</f>
        <v>1236</v>
      </c>
      <c r="E199" s="1">
        <f>D199+F198-D198</f>
        <v>1690</v>
      </c>
      <c r="F199" s="1">
        <f>4210/2</f>
        <v>2105</v>
      </c>
    </row>
    <row r="200" spans="1:5" ht="12.75" customHeight="1">
      <c r="A200" s="1">
        <v>1991</v>
      </c>
      <c r="B200" s="4">
        <v>38099</v>
      </c>
      <c r="C200" s="5" t="s">
        <v>154</v>
      </c>
      <c r="D200" s="1">
        <f>306/2+1</f>
        <v>154</v>
      </c>
      <c r="E200" s="1">
        <f>D200+F199-D199</f>
        <v>1023</v>
      </c>
    </row>
    <row r="201" spans="2:5" ht="12.75" customHeight="1">
      <c r="B201" s="4">
        <v>38122</v>
      </c>
      <c r="C201" s="5" t="s">
        <v>106</v>
      </c>
      <c r="D201" s="1">
        <f>804/2+1</f>
        <v>403</v>
      </c>
      <c r="E201" s="1">
        <f>D201-D200</f>
        <v>249</v>
      </c>
    </row>
    <row r="202" spans="2:5" ht="12.75" customHeight="1">
      <c r="B202" s="4">
        <v>38162</v>
      </c>
      <c r="C202" s="5" t="s">
        <v>3</v>
      </c>
      <c r="D202" s="1">
        <f>1756/2+1</f>
        <v>879</v>
      </c>
      <c r="E202" s="1">
        <f>D202-D201</f>
        <v>476</v>
      </c>
    </row>
    <row r="203" spans="2:6" ht="12.75" customHeight="1">
      <c r="B203" s="4">
        <v>38245</v>
      </c>
      <c r="C203" s="5" t="s">
        <v>120</v>
      </c>
      <c r="D203" s="1">
        <f>3690/2+1</f>
        <v>1846</v>
      </c>
      <c r="E203" s="1">
        <f>D203-D202</f>
        <v>967</v>
      </c>
      <c r="F203" s="1">
        <f>4208/2</f>
        <v>2104</v>
      </c>
    </row>
    <row r="204" spans="1:6" ht="12.75" customHeight="1">
      <c r="A204" s="1">
        <v>1992</v>
      </c>
      <c r="B204" s="4">
        <v>38224</v>
      </c>
      <c r="C204" s="5" t="s">
        <v>96</v>
      </c>
      <c r="D204" s="1">
        <f>3230/2+1</f>
        <v>1616</v>
      </c>
      <c r="E204" s="1">
        <f>D204+F203-D203</f>
        <v>1874</v>
      </c>
      <c r="F204" s="1">
        <f>4212/2</f>
        <v>2106</v>
      </c>
    </row>
    <row r="205" spans="1:5" ht="12.75" customHeight="1">
      <c r="A205" s="1">
        <v>1993</v>
      </c>
      <c r="B205" s="4">
        <v>38116</v>
      </c>
      <c r="C205" s="5" t="s">
        <v>130</v>
      </c>
      <c r="D205" s="1">
        <f>800/2+1</f>
        <v>401</v>
      </c>
      <c r="E205" s="1">
        <f>D205+F204-D204</f>
        <v>891</v>
      </c>
    </row>
    <row r="206" spans="2:5" ht="12.75" customHeight="1">
      <c r="B206" s="4">
        <v>38161</v>
      </c>
      <c r="C206" s="5" t="s">
        <v>28</v>
      </c>
      <c r="D206" s="1">
        <f>1940/2+1</f>
        <v>971</v>
      </c>
      <c r="E206" s="1">
        <f>D206-D205</f>
        <v>570</v>
      </c>
    </row>
    <row r="207" spans="2:6" ht="12.75" customHeight="1">
      <c r="B207" s="4">
        <v>38196</v>
      </c>
      <c r="C207" s="5" t="s">
        <v>68</v>
      </c>
      <c r="D207" s="1">
        <f>2802/2+1</f>
        <v>1402</v>
      </c>
      <c r="E207" s="1">
        <f>D207-D206</f>
        <v>431</v>
      </c>
      <c r="F207" s="1">
        <f>4538/2</f>
        <v>2269</v>
      </c>
    </row>
    <row r="208" spans="1:8" ht="12.75" customHeight="1">
      <c r="A208" s="1">
        <v>1994</v>
      </c>
      <c r="B208" s="4">
        <v>38089</v>
      </c>
      <c r="C208" s="5" t="s">
        <v>55</v>
      </c>
      <c r="D208" s="1">
        <f>176/2+1</f>
        <v>89</v>
      </c>
      <c r="E208" s="1">
        <f>D208+F207-D207</f>
        <v>956</v>
      </c>
      <c r="F208" s="1">
        <f>3200/2</f>
        <v>1600</v>
      </c>
      <c r="H208" s="3" t="s">
        <v>209</v>
      </c>
    </row>
    <row r="209" spans="1:5" ht="12.75" customHeight="1">
      <c r="A209" s="1">
        <v>1995</v>
      </c>
      <c r="B209" s="4">
        <v>38149</v>
      </c>
      <c r="C209" s="5" t="s">
        <v>158</v>
      </c>
      <c r="D209" s="1">
        <f>1148/2+1</f>
        <v>575</v>
      </c>
      <c r="E209" s="1">
        <f>D209+F208-D208</f>
        <v>2086</v>
      </c>
    </row>
    <row r="210" spans="2:5" ht="12.75" customHeight="1">
      <c r="B210" s="4">
        <v>38224</v>
      </c>
      <c r="C210" s="5" t="s">
        <v>170</v>
      </c>
      <c r="D210" s="1">
        <f>3062/2+1</f>
        <v>1532</v>
      </c>
      <c r="E210" s="1">
        <f>D210-D209</f>
        <v>957</v>
      </c>
    </row>
    <row r="211" spans="2:6" ht="12.75" customHeight="1">
      <c r="B211" s="4">
        <v>38233</v>
      </c>
      <c r="C211" s="5" t="s">
        <v>94</v>
      </c>
      <c r="D211" s="1">
        <f>3298/2+1</f>
        <v>1650</v>
      </c>
      <c r="E211" s="1">
        <f>D211-D210</f>
        <v>118</v>
      </c>
      <c r="F211" s="1">
        <f>4034/2</f>
        <v>2017</v>
      </c>
    </row>
    <row r="212" spans="1:5" ht="12.75" customHeight="1">
      <c r="A212" s="1">
        <v>1996</v>
      </c>
      <c r="B212" s="4">
        <v>38125</v>
      </c>
      <c r="C212" s="5" t="s">
        <v>121</v>
      </c>
      <c r="D212" s="1">
        <f>1126/2+1</f>
        <v>564</v>
      </c>
      <c r="E212" s="1">
        <f>D212+F211-D211</f>
        <v>931</v>
      </c>
    </row>
    <row r="213" spans="2:5" ht="12.75" customHeight="1">
      <c r="B213" s="4">
        <v>38144</v>
      </c>
      <c r="C213" s="5" t="s">
        <v>56</v>
      </c>
      <c r="D213" s="1">
        <f>1592/2+1</f>
        <v>797</v>
      </c>
      <c r="E213" s="1">
        <f>D213-D212</f>
        <v>233</v>
      </c>
    </row>
    <row r="214" spans="2:6" ht="12.75" customHeight="1">
      <c r="B214" s="4">
        <v>38171</v>
      </c>
      <c r="C214" s="5" t="s">
        <v>166</v>
      </c>
      <c r="D214" s="1">
        <f>2292/2+1</f>
        <v>1147</v>
      </c>
      <c r="E214" s="1">
        <f>D214-D213</f>
        <v>350</v>
      </c>
      <c r="F214" s="1">
        <f>4534/2</f>
        <v>2267</v>
      </c>
    </row>
    <row r="215" spans="1:5" ht="12.75" customHeight="1">
      <c r="A215" s="1">
        <v>1997</v>
      </c>
      <c r="B215" s="4">
        <v>38143</v>
      </c>
      <c r="C215" s="5" t="s">
        <v>29</v>
      </c>
      <c r="D215" s="1">
        <f>1566/2+1</f>
        <v>784</v>
      </c>
      <c r="E215" s="1">
        <f>D215+F214-D214</f>
        <v>1904</v>
      </c>
    </row>
    <row r="216" spans="2:6" ht="12.75" customHeight="1">
      <c r="B216" s="4">
        <v>38241</v>
      </c>
      <c r="C216" s="5" t="s">
        <v>30</v>
      </c>
      <c r="D216" s="1">
        <f>4044/2+1</f>
        <v>2023</v>
      </c>
      <c r="E216" s="1">
        <f>D216-D215</f>
        <v>1239</v>
      </c>
      <c r="F216" s="1">
        <f>4532/2</f>
        <v>2266</v>
      </c>
    </row>
    <row r="217" spans="1:5" ht="12.75" customHeight="1">
      <c r="A217" s="1">
        <v>1998</v>
      </c>
      <c r="B217" s="4">
        <v>38125</v>
      </c>
      <c r="C217" s="5" t="s">
        <v>15</v>
      </c>
      <c r="D217" s="1">
        <f>1256/2+1</f>
        <v>629</v>
      </c>
      <c r="E217" s="1">
        <f>D217+F216-D216</f>
        <v>872</v>
      </c>
    </row>
    <row r="218" spans="2:5" ht="12.75" customHeight="1">
      <c r="B218" s="4">
        <v>38148</v>
      </c>
      <c r="C218" s="5" t="s">
        <v>194</v>
      </c>
      <c r="D218" s="1">
        <f>1884/2+1</f>
        <v>943</v>
      </c>
      <c r="E218" s="1">
        <f>D218-D217</f>
        <v>314</v>
      </c>
    </row>
    <row r="219" spans="2:6" ht="12.75" customHeight="1">
      <c r="B219" s="4">
        <v>38193</v>
      </c>
      <c r="C219" s="5" t="s">
        <v>195</v>
      </c>
      <c r="D219" s="1">
        <f>3060/2+1</f>
        <v>1531</v>
      </c>
      <c r="E219" s="1">
        <f>D219-D218</f>
        <v>588</v>
      </c>
      <c r="F219" s="1">
        <f>4864/2</f>
        <v>2432</v>
      </c>
    </row>
    <row r="220" spans="1:5" ht="12.75" customHeight="1">
      <c r="A220" s="1">
        <v>1999</v>
      </c>
      <c r="B220" s="4">
        <v>38110</v>
      </c>
      <c r="C220" s="5" t="s">
        <v>155</v>
      </c>
      <c r="D220" s="1">
        <f>724/2+1</f>
        <v>363</v>
      </c>
      <c r="E220" s="1">
        <f>D220+F219-D219</f>
        <v>1264</v>
      </c>
    </row>
    <row r="221" spans="2:5" ht="12.75" customHeight="1">
      <c r="B221" s="4">
        <v>38157</v>
      </c>
      <c r="C221" s="5" t="s">
        <v>196</v>
      </c>
      <c r="D221" s="1">
        <f>1966/2+1</f>
        <v>984</v>
      </c>
      <c r="E221" s="1">
        <f>D221-D220</f>
        <v>621</v>
      </c>
    </row>
    <row r="222" spans="2:6" ht="12.75" customHeight="1">
      <c r="B222" s="4">
        <v>38174</v>
      </c>
      <c r="C222" s="5" t="s">
        <v>83</v>
      </c>
      <c r="D222" s="1">
        <f>2438/2+1</f>
        <v>1220</v>
      </c>
      <c r="E222" s="1">
        <f>D222-D221</f>
        <v>236</v>
      </c>
      <c r="F222" s="1">
        <f>4856/2</f>
        <v>2428</v>
      </c>
    </row>
    <row r="223" spans="1:5" ht="12.75" customHeight="1">
      <c r="A223" s="1">
        <v>2000</v>
      </c>
      <c r="B223" s="4">
        <v>38104</v>
      </c>
      <c r="C223" s="5" t="s">
        <v>84</v>
      </c>
      <c r="D223" s="1">
        <f>624/2+1</f>
        <v>313</v>
      </c>
      <c r="E223" s="1">
        <f>D223+F222-D222</f>
        <v>1521</v>
      </c>
    </row>
    <row r="224" spans="2:5" ht="12.75" customHeight="1">
      <c r="B224" s="4">
        <v>38126</v>
      </c>
      <c r="C224" s="5" t="s">
        <v>188</v>
      </c>
      <c r="D224" s="1">
        <f>1186/2+1</f>
        <v>594</v>
      </c>
      <c r="E224" s="1">
        <f>D224-D223</f>
        <v>281</v>
      </c>
    </row>
    <row r="225" spans="2:5" ht="12.75" customHeight="1">
      <c r="B225" s="4">
        <v>38156</v>
      </c>
      <c r="C225" s="5" t="s">
        <v>197</v>
      </c>
      <c r="D225" s="1">
        <f>1976/2+1</f>
        <v>989</v>
      </c>
      <c r="E225" s="1">
        <f>D225-D224</f>
        <v>395</v>
      </c>
    </row>
    <row r="226" spans="2:5" ht="12.75" customHeight="1">
      <c r="B226" s="4">
        <v>38159</v>
      </c>
      <c r="C226" s="5" t="s">
        <v>16</v>
      </c>
      <c r="D226" s="1">
        <f>2052/2+1</f>
        <v>1027</v>
      </c>
      <c r="E226" s="1">
        <f>D226-D225</f>
        <v>38</v>
      </c>
    </row>
    <row r="227" spans="2:6" ht="12.75" customHeight="1">
      <c r="B227" s="4">
        <v>38173</v>
      </c>
      <c r="C227" s="5" t="s">
        <v>131</v>
      </c>
      <c r="D227" s="1">
        <f>2448/2+1</f>
        <v>1225</v>
      </c>
      <c r="E227" s="1">
        <f>D227-D226</f>
        <v>198</v>
      </c>
      <c r="F227" s="1">
        <f>4858/2</f>
        <v>2429</v>
      </c>
    </row>
    <row r="228" spans="1:5" ht="12.75" customHeight="1">
      <c r="A228" s="1">
        <v>2001</v>
      </c>
      <c r="B228" s="4">
        <v>38146</v>
      </c>
      <c r="C228" s="5" t="s">
        <v>69</v>
      </c>
      <c r="D228" s="1">
        <f>1748/2+1</f>
        <v>875</v>
      </c>
      <c r="E228" s="1">
        <f>D228+F227-D227</f>
        <v>2079</v>
      </c>
    </row>
    <row r="229" spans="2:5" ht="12.75" customHeight="1">
      <c r="B229" s="4">
        <v>38154</v>
      </c>
      <c r="C229" s="5" t="s">
        <v>30</v>
      </c>
      <c r="D229" s="1">
        <f>1958/2+1</f>
        <v>980</v>
      </c>
      <c r="E229" s="1">
        <f>D229-D228</f>
        <v>105</v>
      </c>
    </row>
    <row r="230" spans="2:5" ht="12.75" customHeight="1">
      <c r="B230" s="4">
        <v>38186</v>
      </c>
      <c r="C230" s="5" t="s">
        <v>97</v>
      </c>
      <c r="D230" s="1">
        <f>2786/2+1</f>
        <v>1394</v>
      </c>
      <c r="E230" s="1">
        <f>D230-D229</f>
        <v>414</v>
      </c>
    </row>
    <row r="231" spans="2:5" ht="12.75" customHeight="1">
      <c r="B231" s="4">
        <v>38216</v>
      </c>
      <c r="C231" s="5" t="s">
        <v>20</v>
      </c>
      <c r="D231" s="1">
        <f>3610/2+1</f>
        <v>1806</v>
      </c>
      <c r="E231" s="1">
        <f>D231-D230</f>
        <v>412</v>
      </c>
    </row>
    <row r="232" spans="2:6" ht="12.75" customHeight="1">
      <c r="B232" s="4">
        <v>38259</v>
      </c>
      <c r="C232" s="5" t="s">
        <v>17</v>
      </c>
      <c r="D232" s="1">
        <f>4612/2+1</f>
        <v>2307</v>
      </c>
      <c r="E232" s="1">
        <f>D232-D231</f>
        <v>501</v>
      </c>
      <c r="F232" s="1">
        <f>4858/2</f>
        <v>2429</v>
      </c>
    </row>
    <row r="233" spans="1:5" ht="12.75" customHeight="1">
      <c r="A233" s="1">
        <v>2002</v>
      </c>
      <c r="B233" s="4">
        <v>38085</v>
      </c>
      <c r="C233" s="5" t="s">
        <v>98</v>
      </c>
      <c r="D233" s="1">
        <f>174/2+1</f>
        <v>88</v>
      </c>
      <c r="E233" s="1">
        <f>D233+F232-D232</f>
        <v>210</v>
      </c>
    </row>
    <row r="234" spans="2:6" ht="12.75" customHeight="1">
      <c r="B234" s="4">
        <v>38248</v>
      </c>
      <c r="C234" s="5" t="s">
        <v>132</v>
      </c>
      <c r="D234" s="1">
        <f>4524/2+1</f>
        <v>2263</v>
      </c>
      <c r="E234" s="1">
        <f>D234-D233</f>
        <v>2175</v>
      </c>
      <c r="F234" s="1">
        <f>4852/2</f>
        <v>2426</v>
      </c>
    </row>
    <row r="235" spans="1:5" ht="12.75" customHeight="1">
      <c r="A235" s="1">
        <v>2003</v>
      </c>
      <c r="B235" s="4">
        <v>38162</v>
      </c>
      <c r="C235" s="5" t="s">
        <v>159</v>
      </c>
      <c r="D235" s="1">
        <f>2230/2+1</f>
        <v>1116</v>
      </c>
      <c r="E235" s="1">
        <f>D235+F234-D234</f>
        <v>1279</v>
      </c>
    </row>
    <row r="236" spans="2:5" ht="12.75" customHeight="1">
      <c r="B236" s="4">
        <v>38167</v>
      </c>
      <c r="C236" s="5" t="s">
        <v>18</v>
      </c>
      <c r="D236" s="1">
        <f>2374/2+1</f>
        <v>1188</v>
      </c>
      <c r="E236" s="1">
        <f>D236-D235</f>
        <v>72</v>
      </c>
    </row>
    <row r="237" spans="2:5" ht="12.75" customHeight="1">
      <c r="B237" s="4">
        <v>38213</v>
      </c>
      <c r="C237" s="5" t="s">
        <v>27</v>
      </c>
      <c r="D237" s="1">
        <f>3588/2+1</f>
        <v>1795</v>
      </c>
      <c r="E237" s="1">
        <f>D237-D236</f>
        <v>607</v>
      </c>
    </row>
    <row r="238" spans="2:6" ht="12.75" customHeight="1">
      <c r="B238" s="4">
        <v>38244</v>
      </c>
      <c r="C238" s="5" t="s">
        <v>160</v>
      </c>
      <c r="D238" s="1">
        <f>4438/2+1</f>
        <v>2220</v>
      </c>
      <c r="E238" s="1">
        <f>D238-D237</f>
        <v>425</v>
      </c>
      <c r="F238" s="1">
        <f>4860/2</f>
        <v>2430</v>
      </c>
    </row>
    <row r="239" spans="1:5" ht="12.75" customHeight="1">
      <c r="A239" s="1">
        <v>2004</v>
      </c>
      <c r="B239" s="4">
        <v>38104</v>
      </c>
      <c r="C239" s="5" t="s">
        <v>107</v>
      </c>
      <c r="D239" s="1">
        <f>281+1</f>
        <v>282</v>
      </c>
      <c r="E239" s="1">
        <f>D239+F238-D238</f>
        <v>492</v>
      </c>
    </row>
    <row r="240" spans="2:5" ht="12.75" customHeight="1">
      <c r="B240" s="4">
        <v>38134</v>
      </c>
      <c r="C240" s="5" t="s">
        <v>200</v>
      </c>
      <c r="D240" s="1">
        <v>659</v>
      </c>
      <c r="E240" s="1">
        <f>D240-D239</f>
        <v>377</v>
      </c>
    </row>
    <row r="241" spans="2:5" ht="12.75" customHeight="1">
      <c r="B241" s="4">
        <v>38166</v>
      </c>
      <c r="C241" s="5" t="s">
        <v>201</v>
      </c>
      <c r="D241" s="1">
        <f>1105+1</f>
        <v>1106</v>
      </c>
      <c r="E241" s="1">
        <f>D241-D240</f>
        <v>447</v>
      </c>
    </row>
    <row r="242" spans="2:5" ht="12.75" customHeight="1">
      <c r="B242" s="4">
        <v>38197</v>
      </c>
      <c r="C242" s="5" t="s">
        <v>202</v>
      </c>
      <c r="D242" s="1">
        <f>1508+1</f>
        <v>1509</v>
      </c>
      <c r="E242" s="1">
        <f>D242-D241</f>
        <v>403</v>
      </c>
    </row>
    <row r="243" spans="2:5" ht="12.75" customHeight="1">
      <c r="B243" s="4">
        <v>38216</v>
      </c>
      <c r="C243" s="5" t="s">
        <v>203</v>
      </c>
      <c r="D243" s="1">
        <f>1761+1</f>
        <v>1762</v>
      </c>
      <c r="E243" s="1">
        <f>D243-D242</f>
        <v>253</v>
      </c>
    </row>
    <row r="244" spans="2:6" ht="12.75" customHeight="1">
      <c r="B244" s="4">
        <v>38224</v>
      </c>
      <c r="C244" s="5" t="s">
        <v>204</v>
      </c>
      <c r="D244" s="1">
        <f>1873+1</f>
        <v>1874</v>
      </c>
      <c r="E244" s="1">
        <f>D244-D243</f>
        <v>112</v>
      </c>
      <c r="F244" s="1">
        <v>2428</v>
      </c>
    </row>
    <row r="246" spans="3:4" ht="12.75" customHeight="1">
      <c r="C246" s="12" t="s">
        <v>214</v>
      </c>
      <c r="D246" s="2">
        <f>COUNT(D2:D245)</f>
        <v>225</v>
      </c>
    </row>
  </sheetData>
  <printOptions/>
  <pageMargins left="0.75" right="0.75" top="1" bottom="1" header="0.5" footer="0.5"/>
  <pageSetup fitToHeight="3" fitToWidth="1" horizontalDpi="600" verticalDpi="600" orientation="portrait" scale="61" r:id="rId2"/>
  <ignoredErrors>
    <ignoredError sqref="E46 E52 E10 E20:E22 E5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Goldcoats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Usma</dc:creator>
  <cp:keywords/>
  <dc:description/>
  <cp:lastModifiedBy>wrstephe</cp:lastModifiedBy>
  <cp:lastPrinted>2006-07-13T14:54:37Z</cp:lastPrinted>
  <dcterms:created xsi:type="dcterms:W3CDTF">2004-04-29T11:20:13Z</dcterms:created>
  <dcterms:modified xsi:type="dcterms:W3CDTF">2006-11-02T15:44:26Z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